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Website\Portail\CMS_statistiques\Données autres formats\indicateurs-court-terme\entreprises\D3012\"/>
    </mc:Choice>
  </mc:AlternateContent>
  <xr:revisionPtr revIDLastSave="0" documentId="8_{2B285254-7029-4B47-BBBA-581D4013E449}" xr6:coauthVersionLast="47" xr6:coauthVersionMax="47" xr10:uidLastSave="{00000000-0000-0000-0000-000000000000}"/>
  <bookViews>
    <workbookView xWindow="-120" yWindow="-120" windowWidth="38640" windowHeight="21240" tabRatio="806" activeTab="1" xr2:uid="{00000000-000D-0000-FFFF-FFFF00000000}"/>
  </bookViews>
  <sheets>
    <sheet name="Menu" sheetId="10" r:id="rId1"/>
    <sheet name="IRJ1_FR" sheetId="1" r:id="rId2"/>
    <sheet name="graphique J1_FR" sheetId="2" r:id="rId3"/>
    <sheet name="données J1" sheetId="3" r:id="rId4"/>
    <sheet name="IRJ1_EN" sheetId="7" r:id="rId5"/>
    <sheet name="graphique J1_EN" sheetId="8" r:id="rId6"/>
  </sheets>
  <definedNames>
    <definedName name="_xlnm.Print_Area" localSheetId="1">IRJ1_FR!$A$1:$AA$127</definedName>
  </definedNames>
  <calcPr calcId="181029"/>
</workbook>
</file>

<file path=xl/calcChain.xml><?xml version="1.0" encoding="utf-8"?>
<calcChain xmlns="http://schemas.openxmlformats.org/spreadsheetml/2006/main">
  <c r="J335" i="3" l="1"/>
  <c r="I336" i="3" s="1"/>
  <c r="K336" i="3" s="1"/>
  <c r="J336" i="3"/>
  <c r="C58" i="7"/>
  <c r="C59" i="7"/>
  <c r="C57" i="7"/>
  <c r="C53" i="7"/>
  <c r="C52" i="7"/>
  <c r="C51" i="7"/>
  <c r="C50" i="7"/>
  <c r="C46" i="7"/>
  <c r="C45" i="7"/>
  <c r="C44" i="7"/>
  <c r="C40" i="7"/>
  <c r="C39" i="7"/>
  <c r="C38" i="7"/>
  <c r="C34" i="7"/>
  <c r="C33" i="7"/>
  <c r="C32" i="7"/>
  <c r="C28" i="7"/>
  <c r="C27" i="7"/>
  <c r="C26" i="7"/>
  <c r="C21" i="7"/>
  <c r="C22" i="7"/>
  <c r="C20" i="7"/>
  <c r="B59" i="7"/>
  <c r="B58" i="7"/>
  <c r="B57" i="7"/>
  <c r="B53" i="7"/>
  <c r="B52" i="7"/>
  <c r="B51" i="7"/>
  <c r="B50" i="7"/>
  <c r="B45" i="7"/>
  <c r="B46" i="7"/>
  <c r="B44" i="7"/>
  <c r="B40" i="7"/>
  <c r="B39" i="7"/>
  <c r="B38" i="7"/>
  <c r="B34" i="7"/>
  <c r="B33" i="7"/>
  <c r="B32" i="7"/>
  <c r="B27" i="7"/>
  <c r="B28" i="7"/>
  <c r="B26" i="7"/>
  <c r="B21" i="7"/>
  <c r="B22" i="7"/>
  <c r="B20" i="7"/>
  <c r="J334" i="3" l="1"/>
  <c r="J333" i="3"/>
  <c r="J332" i="3" l="1"/>
  <c r="J331" i="3" l="1"/>
  <c r="J330" i="3" l="1"/>
  <c r="J329" i="3" l="1"/>
  <c r="J328" i="3" l="1"/>
  <c r="J327" i="3" l="1"/>
  <c r="J325" i="3" l="1"/>
  <c r="J326" i="3"/>
  <c r="J324" i="3" l="1"/>
  <c r="J323" i="3" l="1"/>
  <c r="I335" i="3" s="1"/>
  <c r="K335" i="3" s="1"/>
  <c r="J322" i="3" l="1"/>
  <c r="I334" i="3" s="1"/>
  <c r="K334" i="3" s="1"/>
  <c r="J321" i="3" l="1"/>
  <c r="I333" i="3" s="1"/>
  <c r="K333" i="3" s="1"/>
  <c r="J320" i="3" l="1"/>
  <c r="I332" i="3" l="1"/>
  <c r="K332" i="3" s="1"/>
  <c r="J319" i="3"/>
  <c r="I331" i="3" s="1"/>
  <c r="K331" i="3" s="1"/>
  <c r="J318" i="3" l="1"/>
  <c r="I330" i="3" s="1"/>
  <c r="K330" i="3" s="1"/>
  <c r="J317" i="3" l="1"/>
  <c r="I329" i="3" s="1"/>
  <c r="K329" i="3" s="1"/>
  <c r="J316" i="3" l="1"/>
  <c r="I328" i="3" s="1"/>
  <c r="K328" i="3" s="1"/>
  <c r="J315" i="3"/>
  <c r="I327" i="3" s="1"/>
  <c r="K327" i="3" s="1"/>
  <c r="J314" i="3" l="1"/>
  <c r="I326" i="3" s="1"/>
  <c r="K326" i="3" s="1"/>
  <c r="J313" i="3" l="1"/>
  <c r="I325" i="3" s="1"/>
  <c r="K325" i="3" s="1"/>
  <c r="J312" i="3" l="1"/>
  <c r="I324" i="3" s="1"/>
  <c r="K324" i="3" s="1"/>
  <c r="J311" i="3" l="1"/>
  <c r="I323" i="3" s="1"/>
  <c r="K323" i="3" s="1"/>
  <c r="J310" i="3" l="1"/>
  <c r="I322" i="3" s="1"/>
  <c r="K322" i="3" s="1"/>
  <c r="J309" i="3" l="1"/>
  <c r="I321" i="3" s="1"/>
  <c r="K321" i="3" s="1"/>
  <c r="J308" i="3" l="1"/>
  <c r="I320" i="3" s="1"/>
  <c r="K320" i="3" s="1"/>
  <c r="J307" i="3" l="1"/>
  <c r="I319" i="3" s="1"/>
  <c r="K319" i="3" s="1"/>
  <c r="J306" i="3" l="1"/>
  <c r="I318" i="3" s="1"/>
  <c r="K318" i="3" s="1"/>
  <c r="J300" i="3" l="1"/>
  <c r="J305" i="3" l="1"/>
  <c r="I317" i="3" s="1"/>
  <c r="K317" i="3" s="1"/>
  <c r="J304" i="3" l="1"/>
  <c r="I316" i="3" s="1"/>
  <c r="K316" i="3" s="1"/>
  <c r="J303" i="3" l="1"/>
  <c r="I315" i="3" s="1"/>
  <c r="K315" i="3" s="1"/>
  <c r="J302" i="3" l="1"/>
  <c r="I314" i="3" s="1"/>
  <c r="K314" i="3" s="1"/>
  <c r="J301" i="3" l="1"/>
  <c r="I313" i="3" l="1"/>
  <c r="K313" i="3" s="1"/>
  <c r="I312" i="3"/>
  <c r="K312" i="3" s="1"/>
  <c r="J299" i="3"/>
  <c r="I311" i="3" l="1"/>
  <c r="K311" i="3" s="1"/>
  <c r="J298" i="3"/>
  <c r="I310" i="3" s="1"/>
  <c r="K310" i="3" s="1"/>
  <c r="J297" i="3" l="1"/>
  <c r="I309" i="3" s="1"/>
  <c r="K309" i="3" s="1"/>
  <c r="J296" i="3" l="1"/>
  <c r="I308" i="3" s="1"/>
  <c r="K308" i="3" s="1"/>
  <c r="J295" i="3" l="1"/>
  <c r="I307" i="3" s="1"/>
  <c r="K307" i="3" s="1"/>
  <c r="J294" i="3" l="1"/>
  <c r="I306" i="3" s="1"/>
  <c r="K306" i="3" s="1"/>
  <c r="A73" i="7"/>
  <c r="A70" i="1"/>
  <c r="J293" i="3" l="1"/>
  <c r="I305" i="3" l="1"/>
  <c r="K305" i="3" s="1"/>
  <c r="J292" i="3"/>
  <c r="I304" i="3" s="1"/>
  <c r="K304" i="3" s="1"/>
  <c r="J291" i="3" l="1"/>
  <c r="I303" i="3" s="1"/>
  <c r="K303" i="3" s="1"/>
  <c r="J290" i="3" l="1"/>
  <c r="I302" i="3" l="1"/>
  <c r="K302" i="3" s="1"/>
  <c r="J289" i="3"/>
  <c r="I301" i="3" s="1"/>
  <c r="K301" i="3" s="1"/>
  <c r="J288" i="3" l="1"/>
  <c r="I300" i="3" s="1"/>
  <c r="K300" i="3" s="1"/>
  <c r="J287" i="3" l="1"/>
  <c r="I299" i="3" s="1"/>
  <c r="K299" i="3" s="1"/>
  <c r="J286" i="3"/>
  <c r="I298" i="3" l="1"/>
  <c r="K298" i="3" s="1"/>
  <c r="AA53" i="7"/>
  <c r="Z53" i="7"/>
  <c r="Y53" i="7"/>
  <c r="X53" i="7"/>
  <c r="W53" i="7"/>
  <c r="V53" i="7"/>
  <c r="U53" i="7"/>
  <c r="T53" i="7"/>
  <c r="S53" i="7"/>
  <c r="R53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AA52" i="7"/>
  <c r="Z52" i="7"/>
  <c r="Y52" i="7"/>
  <c r="X52" i="7"/>
  <c r="W52" i="7"/>
  <c r="V52" i="7"/>
  <c r="U52" i="7"/>
  <c r="T52" i="7"/>
  <c r="S52" i="7"/>
  <c r="R52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AA51" i="7"/>
  <c r="Z51" i="7"/>
  <c r="Y51" i="7"/>
  <c r="X51" i="7"/>
  <c r="W51" i="7"/>
  <c r="V51" i="7"/>
  <c r="U51" i="7"/>
  <c r="T51" i="7"/>
  <c r="S51" i="7"/>
  <c r="R51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AA59" i="7" l="1"/>
  <c r="Z59" i="7"/>
  <c r="Y59" i="7"/>
  <c r="X59" i="7"/>
  <c r="W59" i="7"/>
  <c r="V59" i="7"/>
  <c r="U59" i="7"/>
  <c r="T59" i="7"/>
  <c r="S59" i="7"/>
  <c r="R59" i="7"/>
  <c r="Q59" i="7"/>
  <c r="P59" i="7"/>
  <c r="O59" i="7"/>
  <c r="N59" i="7"/>
  <c r="M59" i="7"/>
  <c r="L59" i="7"/>
  <c r="K59" i="7"/>
  <c r="J59" i="7"/>
  <c r="I59" i="7"/>
  <c r="H59" i="7"/>
  <c r="G59" i="7"/>
  <c r="F59" i="7"/>
  <c r="E59" i="7"/>
  <c r="D59" i="7"/>
  <c r="AA58" i="7"/>
  <c r="Z58" i="7"/>
  <c r="Y58" i="7"/>
  <c r="X58" i="7"/>
  <c r="W58" i="7"/>
  <c r="V58" i="7"/>
  <c r="U58" i="7"/>
  <c r="T58" i="7"/>
  <c r="S58" i="7"/>
  <c r="R58" i="7"/>
  <c r="Q58" i="7"/>
  <c r="P58" i="7"/>
  <c r="O58" i="7"/>
  <c r="N58" i="7"/>
  <c r="M58" i="7"/>
  <c r="L58" i="7"/>
  <c r="K58" i="7"/>
  <c r="J58" i="7"/>
  <c r="I58" i="7"/>
  <c r="H58" i="7"/>
  <c r="G58" i="7"/>
  <c r="F58" i="7"/>
  <c r="E58" i="7"/>
  <c r="D58" i="7"/>
  <c r="AA57" i="7"/>
  <c r="Z57" i="7"/>
  <c r="Y57" i="7"/>
  <c r="X57" i="7"/>
  <c r="W57" i="7"/>
  <c r="V57" i="7"/>
  <c r="U57" i="7"/>
  <c r="T57" i="7"/>
  <c r="S57" i="7"/>
  <c r="R57" i="7"/>
  <c r="Q57" i="7"/>
  <c r="P57" i="7"/>
  <c r="O57" i="7"/>
  <c r="N57" i="7"/>
  <c r="M57" i="7"/>
  <c r="L57" i="7"/>
  <c r="K57" i="7"/>
  <c r="J57" i="7"/>
  <c r="I57" i="7"/>
  <c r="H57" i="7"/>
  <c r="G57" i="7"/>
  <c r="F57" i="7"/>
  <c r="E57" i="7"/>
  <c r="D57" i="7"/>
  <c r="AA85" i="7"/>
  <c r="Z85" i="7"/>
  <c r="Y85" i="7"/>
  <c r="X85" i="7"/>
  <c r="W85" i="7"/>
  <c r="V85" i="7"/>
  <c r="U85" i="7"/>
  <c r="T85" i="7"/>
  <c r="S85" i="7"/>
  <c r="R85" i="7"/>
  <c r="Q85" i="7"/>
  <c r="P85" i="7"/>
  <c r="O85" i="7"/>
  <c r="N85" i="7"/>
  <c r="M85" i="7"/>
  <c r="L85" i="7"/>
  <c r="K85" i="7"/>
  <c r="J85" i="7"/>
  <c r="I85" i="7"/>
  <c r="H85" i="7"/>
  <c r="G85" i="7"/>
  <c r="F85" i="7"/>
  <c r="E85" i="7"/>
  <c r="D85" i="7"/>
  <c r="C85" i="7"/>
  <c r="AA84" i="7"/>
  <c r="Z84" i="7"/>
  <c r="Y84" i="7"/>
  <c r="X84" i="7"/>
  <c r="W84" i="7"/>
  <c r="V84" i="7"/>
  <c r="U84" i="7"/>
  <c r="T84" i="7"/>
  <c r="S84" i="7"/>
  <c r="R84" i="7"/>
  <c r="Q84" i="7"/>
  <c r="P84" i="7"/>
  <c r="O84" i="7"/>
  <c r="N84" i="7"/>
  <c r="M84" i="7"/>
  <c r="L84" i="7"/>
  <c r="K84" i="7"/>
  <c r="J84" i="7"/>
  <c r="I84" i="7"/>
  <c r="H84" i="7"/>
  <c r="G84" i="7"/>
  <c r="F84" i="7"/>
  <c r="E84" i="7"/>
  <c r="D84" i="7"/>
  <c r="C84" i="7"/>
  <c r="AA83" i="7"/>
  <c r="Z83" i="7"/>
  <c r="Y83" i="7"/>
  <c r="X83" i="7"/>
  <c r="W83" i="7"/>
  <c r="V83" i="7"/>
  <c r="U83" i="7"/>
  <c r="T83" i="7"/>
  <c r="S83" i="7"/>
  <c r="R83" i="7"/>
  <c r="Q83" i="7"/>
  <c r="P83" i="7"/>
  <c r="O83" i="7"/>
  <c r="N83" i="7"/>
  <c r="M83" i="7"/>
  <c r="L83" i="7"/>
  <c r="K83" i="7"/>
  <c r="J83" i="7"/>
  <c r="I83" i="7"/>
  <c r="H83" i="7"/>
  <c r="G83" i="7"/>
  <c r="F83" i="7"/>
  <c r="E83" i="7"/>
  <c r="D83" i="7"/>
  <c r="C83" i="7"/>
  <c r="B84" i="7"/>
  <c r="B85" i="7"/>
  <c r="B83" i="7"/>
  <c r="B89" i="7"/>
  <c r="J285" i="3" l="1"/>
  <c r="I297" i="3" s="1"/>
  <c r="K297" i="3" s="1"/>
  <c r="J284" i="3" l="1"/>
  <c r="I296" i="3" s="1"/>
  <c r="K296" i="3" s="1"/>
  <c r="J283" i="3" l="1"/>
  <c r="I295" i="3" s="1"/>
  <c r="K295" i="3" s="1"/>
  <c r="J282" i="3" l="1"/>
  <c r="I294" i="3" s="1"/>
  <c r="K294" i="3" s="1"/>
  <c r="J281" i="3" l="1"/>
  <c r="I293" i="3" s="1"/>
  <c r="K293" i="3" s="1"/>
  <c r="J280" i="3" l="1"/>
  <c r="I292" i="3" s="1"/>
  <c r="K292" i="3" s="1"/>
  <c r="J279" i="3" l="1"/>
  <c r="I291" i="3" l="1"/>
  <c r="K291" i="3" s="1"/>
  <c r="J278" i="3"/>
  <c r="I290" i="3" s="1"/>
  <c r="K290" i="3" s="1"/>
  <c r="J277" i="3" l="1"/>
  <c r="I289" i="3" s="1"/>
  <c r="K289" i="3" s="1"/>
  <c r="J276" i="3" l="1"/>
  <c r="I288" i="3" s="1"/>
  <c r="K288" i="3" s="1"/>
  <c r="J275" i="3" l="1"/>
  <c r="I287" i="3" s="1"/>
  <c r="K287" i="3" s="1"/>
  <c r="J274" i="3" l="1"/>
  <c r="I286" i="3" l="1"/>
  <c r="K286" i="3" s="1"/>
  <c r="I285" i="3"/>
  <c r="K285" i="3" s="1"/>
  <c r="I284" i="3"/>
  <c r="K284" i="3" s="1"/>
  <c r="I283" i="3"/>
  <c r="K283" i="3" s="1"/>
  <c r="J270" i="3" l="1"/>
  <c r="I282" i="3" s="1"/>
  <c r="K282" i="3" s="1"/>
  <c r="J269" i="3" l="1"/>
  <c r="I281" i="3" s="1"/>
  <c r="K281" i="3" s="1"/>
  <c r="J268" i="3"/>
  <c r="I280" i="3" l="1"/>
  <c r="K280" i="3" s="1"/>
  <c r="J267" i="3"/>
  <c r="I279" i="3" s="1"/>
  <c r="K279" i="3" s="1"/>
  <c r="J266" i="3" l="1"/>
  <c r="I278" i="3" s="1"/>
  <c r="K278" i="3" s="1"/>
  <c r="D20" i="7"/>
  <c r="D21" i="7"/>
  <c r="D22" i="7"/>
  <c r="D26" i="7"/>
  <c r="D27" i="7"/>
  <c r="D28" i="7"/>
  <c r="D32" i="7"/>
  <c r="D33" i="7"/>
  <c r="D34" i="7"/>
  <c r="D38" i="7"/>
  <c r="D39" i="7"/>
  <c r="D40" i="7"/>
  <c r="D44" i="7"/>
  <c r="D45" i="7"/>
  <c r="D46" i="7"/>
  <c r="F20" i="7"/>
  <c r="F21" i="7"/>
  <c r="F22" i="7"/>
  <c r="F26" i="7"/>
  <c r="F27" i="7"/>
  <c r="F28" i="7"/>
  <c r="F32" i="7"/>
  <c r="F33" i="7"/>
  <c r="F34" i="7"/>
  <c r="F38" i="7"/>
  <c r="F39" i="7"/>
  <c r="F40" i="7"/>
  <c r="F44" i="7"/>
  <c r="F45" i="7"/>
  <c r="F46" i="7"/>
  <c r="H20" i="7"/>
  <c r="H21" i="7"/>
  <c r="H22" i="7"/>
  <c r="H26" i="7"/>
  <c r="H27" i="7"/>
  <c r="H28" i="7"/>
  <c r="H32" i="7"/>
  <c r="H33" i="7"/>
  <c r="H34" i="7"/>
  <c r="H38" i="7"/>
  <c r="H39" i="7"/>
  <c r="H40" i="7"/>
  <c r="H44" i="7"/>
  <c r="H45" i="7"/>
  <c r="H46" i="7"/>
  <c r="J20" i="7"/>
  <c r="J21" i="7"/>
  <c r="J22" i="7"/>
  <c r="J26" i="7"/>
  <c r="J27" i="7"/>
  <c r="J28" i="7"/>
  <c r="J32" i="7"/>
  <c r="J33" i="7"/>
  <c r="J34" i="7"/>
  <c r="J38" i="7"/>
  <c r="J39" i="7"/>
  <c r="J40" i="7"/>
  <c r="J44" i="7"/>
  <c r="J45" i="7"/>
  <c r="J46" i="7"/>
  <c r="L20" i="7"/>
  <c r="L21" i="7"/>
  <c r="L22" i="7"/>
  <c r="L26" i="7"/>
  <c r="L27" i="7"/>
  <c r="L28" i="7"/>
  <c r="L32" i="7"/>
  <c r="L33" i="7"/>
  <c r="L34" i="7"/>
  <c r="L38" i="7"/>
  <c r="L39" i="7"/>
  <c r="L40" i="7"/>
  <c r="L44" i="7"/>
  <c r="L45" i="7"/>
  <c r="L46" i="7"/>
  <c r="N20" i="7"/>
  <c r="N21" i="7"/>
  <c r="N22" i="7"/>
  <c r="N26" i="7"/>
  <c r="N27" i="7"/>
  <c r="N28" i="7"/>
  <c r="N32" i="7"/>
  <c r="N33" i="7"/>
  <c r="N34" i="7"/>
  <c r="N38" i="7"/>
  <c r="N39" i="7"/>
  <c r="N40" i="7"/>
  <c r="N44" i="7"/>
  <c r="N45" i="7"/>
  <c r="N46" i="7"/>
  <c r="P20" i="7"/>
  <c r="P21" i="7"/>
  <c r="P22" i="7"/>
  <c r="P26" i="7"/>
  <c r="P27" i="7"/>
  <c r="P28" i="7"/>
  <c r="P32" i="7"/>
  <c r="P33" i="7"/>
  <c r="P34" i="7"/>
  <c r="P38" i="7"/>
  <c r="P39" i="7"/>
  <c r="P40" i="7"/>
  <c r="P44" i="7"/>
  <c r="P45" i="7"/>
  <c r="P46" i="7"/>
  <c r="R20" i="7"/>
  <c r="R21" i="7"/>
  <c r="R22" i="7"/>
  <c r="R26" i="7"/>
  <c r="R27" i="7"/>
  <c r="R28" i="7"/>
  <c r="R32" i="7"/>
  <c r="R33" i="7"/>
  <c r="R34" i="7"/>
  <c r="R38" i="7"/>
  <c r="R39" i="7"/>
  <c r="R40" i="7"/>
  <c r="R44" i="7"/>
  <c r="R45" i="7"/>
  <c r="R46" i="7"/>
  <c r="T20" i="7"/>
  <c r="T21" i="7"/>
  <c r="T22" i="7"/>
  <c r="T26" i="7"/>
  <c r="T27" i="7"/>
  <c r="T28" i="7"/>
  <c r="T32" i="7"/>
  <c r="T33" i="7"/>
  <c r="T34" i="7"/>
  <c r="T38" i="7"/>
  <c r="T39" i="7"/>
  <c r="T40" i="7"/>
  <c r="T44" i="7"/>
  <c r="T45" i="7"/>
  <c r="T46" i="7"/>
  <c r="V20" i="7"/>
  <c r="V21" i="7"/>
  <c r="V22" i="7"/>
  <c r="V26" i="7"/>
  <c r="V27" i="7"/>
  <c r="V28" i="7"/>
  <c r="V32" i="7"/>
  <c r="V33" i="7"/>
  <c r="V34" i="7"/>
  <c r="V38" i="7"/>
  <c r="V39" i="7"/>
  <c r="V40" i="7"/>
  <c r="V44" i="7"/>
  <c r="V45" i="7"/>
  <c r="V46" i="7"/>
  <c r="X20" i="7"/>
  <c r="X21" i="7"/>
  <c r="X22" i="7"/>
  <c r="X26" i="7"/>
  <c r="X27" i="7"/>
  <c r="X28" i="7"/>
  <c r="X32" i="7"/>
  <c r="X33" i="7"/>
  <c r="X34" i="7"/>
  <c r="X38" i="7"/>
  <c r="X39" i="7"/>
  <c r="X40" i="7"/>
  <c r="X44" i="7"/>
  <c r="X45" i="7"/>
  <c r="X46" i="7"/>
  <c r="Z20" i="7"/>
  <c r="Z21" i="7"/>
  <c r="Z22" i="7"/>
  <c r="Z26" i="7"/>
  <c r="Z27" i="7"/>
  <c r="Z28" i="7"/>
  <c r="Z32" i="7"/>
  <c r="Z33" i="7"/>
  <c r="Z34" i="7"/>
  <c r="Z38" i="7"/>
  <c r="Z39" i="7"/>
  <c r="Z40" i="7"/>
  <c r="Z44" i="7"/>
  <c r="Z45" i="7"/>
  <c r="Z46" i="7"/>
  <c r="J265" i="3" l="1"/>
  <c r="I277" i="3" l="1"/>
  <c r="K277" i="3" s="1"/>
  <c r="I276" i="3"/>
  <c r="K276" i="3" s="1"/>
  <c r="J263" i="3"/>
  <c r="I275" i="3" s="1"/>
  <c r="K275" i="3" s="1"/>
  <c r="J262" i="3" l="1"/>
  <c r="I274" i="3" s="1"/>
  <c r="K274" i="3" s="1"/>
  <c r="J261" i="3" l="1"/>
  <c r="I273" i="3" s="1"/>
  <c r="K273" i="3" s="1"/>
  <c r="J260" i="3" l="1"/>
  <c r="I272" i="3" s="1"/>
  <c r="K272" i="3" s="1"/>
  <c r="J259" i="3" l="1"/>
  <c r="I271" i="3" s="1"/>
  <c r="K271" i="3" s="1"/>
  <c r="I270" i="3" l="1"/>
  <c r="K270" i="3" s="1"/>
  <c r="I269" i="3"/>
  <c r="K269" i="3" s="1"/>
  <c r="I268" i="3"/>
  <c r="K268" i="3" s="1"/>
  <c r="I267" i="3"/>
  <c r="K267" i="3" s="1"/>
  <c r="I266" i="3"/>
  <c r="K266" i="3" s="1"/>
  <c r="I265" i="3"/>
  <c r="K265" i="3" s="1"/>
  <c r="J249" i="3"/>
  <c r="I264" i="3" s="1"/>
  <c r="K264" i="3" s="1"/>
  <c r="J248" i="3" l="1"/>
  <c r="I263" i="3" s="1"/>
  <c r="K263" i="3" s="1"/>
  <c r="J247" i="3"/>
  <c r="I262" i="3" s="1"/>
  <c r="K262" i="3" s="1"/>
  <c r="J246" i="3" l="1"/>
  <c r="I261" i="3" s="1"/>
  <c r="K261" i="3" s="1"/>
  <c r="J245" i="3" l="1"/>
  <c r="I260" i="3" s="1"/>
  <c r="K260" i="3" s="1"/>
  <c r="J235" i="3" l="1"/>
  <c r="J244" i="3"/>
  <c r="I259" i="3" s="1"/>
  <c r="K259" i="3" s="1"/>
  <c r="J243" i="3" l="1"/>
  <c r="I258" i="3" l="1"/>
  <c r="K258" i="3" s="1"/>
  <c r="I255" i="3"/>
  <c r="K255" i="3" s="1"/>
  <c r="I256" i="3"/>
  <c r="K256" i="3" s="1"/>
  <c r="J242" i="3"/>
  <c r="I257" i="3" l="1"/>
  <c r="K257" i="3" s="1"/>
  <c r="I254" i="3"/>
  <c r="K254" i="3" s="1"/>
  <c r="J241" i="3"/>
  <c r="I253" i="3" s="1"/>
  <c r="K253" i="3" s="1"/>
  <c r="J240" i="3" l="1"/>
  <c r="I252" i="3" s="1"/>
  <c r="K252" i="3" s="1"/>
  <c r="J239" i="3" l="1"/>
  <c r="I251" i="3" l="1"/>
  <c r="K251" i="3" s="1"/>
  <c r="I250" i="3"/>
  <c r="K250" i="3" s="1"/>
  <c r="J236" i="3"/>
  <c r="J237" i="3" l="1"/>
  <c r="I249" i="3" s="1"/>
  <c r="K249" i="3" s="1"/>
  <c r="I247" i="3" l="1"/>
  <c r="K247" i="3" s="1"/>
  <c r="I248" i="3"/>
  <c r="K248" i="3" s="1"/>
  <c r="J234" i="3"/>
  <c r="I246" i="3" s="1"/>
  <c r="K246" i="3" s="1"/>
  <c r="J233" i="3" l="1"/>
  <c r="I245" i="3" s="1"/>
  <c r="K245" i="3" s="1"/>
  <c r="J232" i="3" l="1"/>
  <c r="I244" i="3" s="1"/>
  <c r="K244" i="3" s="1"/>
  <c r="J231" i="3" l="1"/>
  <c r="I243" i="3" s="1"/>
  <c r="K243" i="3" s="1"/>
  <c r="J230" i="3" l="1"/>
  <c r="I242" i="3" s="1"/>
  <c r="K242" i="3" s="1"/>
  <c r="J229" i="3"/>
  <c r="I241" i="3" s="1"/>
  <c r="K241" i="3" s="1"/>
  <c r="J228" i="3"/>
  <c r="I240" i="3" l="1"/>
  <c r="K240" i="3" s="1"/>
  <c r="J227" i="3" l="1"/>
  <c r="I239" i="3" s="1"/>
  <c r="K239" i="3" s="1"/>
  <c r="J226" i="3" l="1"/>
  <c r="I238" i="3" s="1"/>
  <c r="K238" i="3" s="1"/>
  <c r="J225" i="3"/>
  <c r="J224" i="3"/>
  <c r="J223" i="3"/>
  <c r="I234" i="3" s="1"/>
  <c r="K234" i="3" s="1"/>
  <c r="E14" i="10"/>
  <c r="J222" i="3"/>
  <c r="J221" i="3"/>
  <c r="J220" i="3"/>
  <c r="J219" i="3"/>
  <c r="J218" i="3"/>
  <c r="J217" i="3"/>
  <c r="J216" i="3"/>
  <c r="J215" i="3"/>
  <c r="J214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J199" i="3"/>
  <c r="J197" i="3"/>
  <c r="J196" i="3"/>
  <c r="J195" i="3"/>
  <c r="J194" i="3"/>
  <c r="J193" i="3"/>
  <c r="J192" i="3"/>
  <c r="J191" i="3"/>
  <c r="J190" i="3"/>
  <c r="D65" i="3"/>
  <c r="D64" i="3"/>
  <c r="J189" i="3"/>
  <c r="J188" i="3"/>
  <c r="J187" i="3"/>
  <c r="I185" i="3"/>
  <c r="K185" i="3" s="1"/>
  <c r="D63" i="3"/>
  <c r="I183" i="3"/>
  <c r="K183" i="3" s="1"/>
  <c r="I182" i="3"/>
  <c r="K182" i="3" s="1"/>
  <c r="I181" i="3"/>
  <c r="K181" i="3" s="1"/>
  <c r="D62" i="3"/>
  <c r="I180" i="3"/>
  <c r="K180" i="3" s="1"/>
  <c r="I179" i="3"/>
  <c r="K179" i="3" s="1"/>
  <c r="I178" i="3"/>
  <c r="K178" i="3" s="1"/>
  <c r="K1" i="8"/>
  <c r="M1" i="2"/>
  <c r="D61" i="3"/>
  <c r="I177" i="3"/>
  <c r="K177" i="3" s="1"/>
  <c r="I176" i="3"/>
  <c r="K176" i="3" s="1"/>
  <c r="I175" i="3"/>
  <c r="K175" i="3" s="1"/>
  <c r="I174" i="3"/>
  <c r="K174" i="3" s="1"/>
  <c r="D60" i="3"/>
  <c r="AA64" i="1"/>
  <c r="I173" i="3"/>
  <c r="K173" i="3" s="1"/>
  <c r="AA66" i="7"/>
  <c r="I172" i="3"/>
  <c r="K172" i="3" s="1"/>
  <c r="D59" i="3"/>
  <c r="I171" i="3"/>
  <c r="K171" i="3" s="1"/>
  <c r="I170" i="3"/>
  <c r="K170" i="3" s="1"/>
  <c r="I169" i="3"/>
  <c r="K169" i="3" s="1"/>
  <c r="I168" i="3"/>
  <c r="K168" i="3" s="1"/>
  <c r="D58" i="3"/>
  <c r="B14" i="10"/>
  <c r="I167" i="3"/>
  <c r="K167" i="3" s="1"/>
  <c r="I166" i="3"/>
  <c r="K166" i="3" s="1"/>
  <c r="I165" i="3"/>
  <c r="K165" i="3" s="1"/>
  <c r="I164" i="3"/>
  <c r="K164" i="3" s="1"/>
  <c r="I163" i="3"/>
  <c r="K163" i="3" s="1"/>
  <c r="I162" i="3"/>
  <c r="K162" i="3" s="1"/>
  <c r="D57" i="3"/>
  <c r="D56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4" i="3"/>
  <c r="AA127" i="7"/>
  <c r="Z127" i="7"/>
  <c r="Y127" i="7"/>
  <c r="X127" i="7"/>
  <c r="W127" i="7"/>
  <c r="V127" i="7"/>
  <c r="U127" i="7"/>
  <c r="T127" i="7"/>
  <c r="S127" i="7"/>
  <c r="R127" i="7"/>
  <c r="Q127" i="7"/>
  <c r="P127" i="7"/>
  <c r="O127" i="7"/>
  <c r="N127" i="7"/>
  <c r="M127" i="7"/>
  <c r="L127" i="7"/>
  <c r="K127" i="7"/>
  <c r="J127" i="7"/>
  <c r="I127" i="7"/>
  <c r="H127" i="7"/>
  <c r="G127" i="7"/>
  <c r="F127" i="7"/>
  <c r="E127" i="7"/>
  <c r="D127" i="7"/>
  <c r="C127" i="7"/>
  <c r="B127" i="7"/>
  <c r="AA126" i="7"/>
  <c r="Z126" i="7"/>
  <c r="Y126" i="7"/>
  <c r="X126" i="7"/>
  <c r="W126" i="7"/>
  <c r="V126" i="7"/>
  <c r="U126" i="7"/>
  <c r="T126" i="7"/>
  <c r="S126" i="7"/>
  <c r="R126" i="7"/>
  <c r="Q126" i="7"/>
  <c r="P126" i="7"/>
  <c r="O126" i="7"/>
  <c r="N126" i="7"/>
  <c r="M126" i="7"/>
  <c r="L126" i="7"/>
  <c r="K126" i="7"/>
  <c r="J126" i="7"/>
  <c r="I126" i="7"/>
  <c r="H126" i="7"/>
  <c r="G126" i="7"/>
  <c r="F126" i="7"/>
  <c r="E126" i="7"/>
  <c r="D126" i="7"/>
  <c r="C126" i="7"/>
  <c r="B126" i="7"/>
  <c r="AA125" i="7"/>
  <c r="Z125" i="7"/>
  <c r="Y125" i="7"/>
  <c r="X125" i="7"/>
  <c r="W125" i="7"/>
  <c r="V125" i="7"/>
  <c r="U125" i="7"/>
  <c r="T125" i="7"/>
  <c r="S125" i="7"/>
  <c r="R125" i="7"/>
  <c r="Q125" i="7"/>
  <c r="P125" i="7"/>
  <c r="O125" i="7"/>
  <c r="N125" i="7"/>
  <c r="M125" i="7"/>
  <c r="L125" i="7"/>
  <c r="K125" i="7"/>
  <c r="J125" i="7"/>
  <c r="I125" i="7"/>
  <c r="H125" i="7"/>
  <c r="G125" i="7"/>
  <c r="F125" i="7"/>
  <c r="E125" i="7"/>
  <c r="D125" i="7"/>
  <c r="C125" i="7"/>
  <c r="B125" i="7"/>
  <c r="AA121" i="7"/>
  <c r="Z121" i="7"/>
  <c r="Y121" i="7"/>
  <c r="X121" i="7"/>
  <c r="W121" i="7"/>
  <c r="V121" i="7"/>
  <c r="U121" i="7"/>
  <c r="T121" i="7"/>
  <c r="S121" i="7"/>
  <c r="R121" i="7"/>
  <c r="Q121" i="7"/>
  <c r="P121" i="7"/>
  <c r="O121" i="7"/>
  <c r="N121" i="7"/>
  <c r="M121" i="7"/>
  <c r="L121" i="7"/>
  <c r="K121" i="7"/>
  <c r="J121" i="7"/>
  <c r="I121" i="7"/>
  <c r="H121" i="7"/>
  <c r="G121" i="7"/>
  <c r="F121" i="7"/>
  <c r="E121" i="7"/>
  <c r="D121" i="7"/>
  <c r="C121" i="7"/>
  <c r="B121" i="7"/>
  <c r="AA117" i="7"/>
  <c r="Z117" i="7"/>
  <c r="Y117" i="7"/>
  <c r="X117" i="7"/>
  <c r="W117" i="7"/>
  <c r="V117" i="7"/>
  <c r="U117" i="7"/>
  <c r="T117" i="7"/>
  <c r="S117" i="7"/>
  <c r="R117" i="7"/>
  <c r="Q117" i="7"/>
  <c r="P117" i="7"/>
  <c r="O117" i="7"/>
  <c r="N117" i="7"/>
  <c r="M117" i="7"/>
  <c r="L117" i="7"/>
  <c r="K117" i="7"/>
  <c r="J117" i="7"/>
  <c r="I117" i="7"/>
  <c r="H117" i="7"/>
  <c r="G117" i="7"/>
  <c r="F117" i="7"/>
  <c r="E117" i="7"/>
  <c r="D117" i="7"/>
  <c r="C117" i="7"/>
  <c r="B117" i="7"/>
  <c r="AA116" i="7"/>
  <c r="Z116" i="7"/>
  <c r="Y116" i="7"/>
  <c r="X116" i="7"/>
  <c r="W116" i="7"/>
  <c r="V116" i="7"/>
  <c r="U116" i="7"/>
  <c r="T116" i="7"/>
  <c r="S116" i="7"/>
  <c r="R116" i="7"/>
  <c r="Q116" i="7"/>
  <c r="P116" i="7"/>
  <c r="O116" i="7"/>
  <c r="N116" i="7"/>
  <c r="M116" i="7"/>
  <c r="L116" i="7"/>
  <c r="K116" i="7"/>
  <c r="J116" i="7"/>
  <c r="I116" i="7"/>
  <c r="H116" i="7"/>
  <c r="G116" i="7"/>
  <c r="F116" i="7"/>
  <c r="E116" i="7"/>
  <c r="D116" i="7"/>
  <c r="C116" i="7"/>
  <c r="B116" i="7"/>
  <c r="AA115" i="7"/>
  <c r="Z115" i="7"/>
  <c r="Y115" i="7"/>
  <c r="X115" i="7"/>
  <c r="W115" i="7"/>
  <c r="V115" i="7"/>
  <c r="U115" i="7"/>
  <c r="T115" i="7"/>
  <c r="S115" i="7"/>
  <c r="R115" i="7"/>
  <c r="Q115" i="7"/>
  <c r="P115" i="7"/>
  <c r="O115" i="7"/>
  <c r="N115" i="7"/>
  <c r="M115" i="7"/>
  <c r="L115" i="7"/>
  <c r="K115" i="7"/>
  <c r="J115" i="7"/>
  <c r="I115" i="7"/>
  <c r="H115" i="7"/>
  <c r="G115" i="7"/>
  <c r="F115" i="7"/>
  <c r="E115" i="7"/>
  <c r="D115" i="7"/>
  <c r="C115" i="7"/>
  <c r="B115" i="7"/>
  <c r="AA111" i="7"/>
  <c r="Z111" i="7"/>
  <c r="Y111" i="7"/>
  <c r="X111" i="7"/>
  <c r="W111" i="7"/>
  <c r="V111" i="7"/>
  <c r="U111" i="7"/>
  <c r="T111" i="7"/>
  <c r="S111" i="7"/>
  <c r="R111" i="7"/>
  <c r="Q111" i="7"/>
  <c r="P111" i="7"/>
  <c r="O111" i="7"/>
  <c r="N111" i="7"/>
  <c r="M111" i="7"/>
  <c r="L111" i="7"/>
  <c r="K111" i="7"/>
  <c r="J111" i="7"/>
  <c r="I111" i="7"/>
  <c r="H111" i="7"/>
  <c r="G111" i="7"/>
  <c r="F111" i="7"/>
  <c r="E111" i="7"/>
  <c r="D111" i="7"/>
  <c r="C111" i="7"/>
  <c r="B111" i="7"/>
  <c r="AA110" i="7"/>
  <c r="Z110" i="7"/>
  <c r="Y110" i="7"/>
  <c r="X110" i="7"/>
  <c r="W110" i="7"/>
  <c r="V110" i="7"/>
  <c r="U110" i="7"/>
  <c r="T110" i="7"/>
  <c r="S110" i="7"/>
  <c r="R110" i="7"/>
  <c r="Q110" i="7"/>
  <c r="P110" i="7"/>
  <c r="O110" i="7"/>
  <c r="N110" i="7"/>
  <c r="M110" i="7"/>
  <c r="L110" i="7"/>
  <c r="K110" i="7"/>
  <c r="J110" i="7"/>
  <c r="I110" i="7"/>
  <c r="H110" i="7"/>
  <c r="G110" i="7"/>
  <c r="F110" i="7"/>
  <c r="E110" i="7"/>
  <c r="D110" i="7"/>
  <c r="C110" i="7"/>
  <c r="B110" i="7"/>
  <c r="AA109" i="7"/>
  <c r="Z109" i="7"/>
  <c r="Y109" i="7"/>
  <c r="X109" i="7"/>
  <c r="W109" i="7"/>
  <c r="V109" i="7"/>
  <c r="U109" i="7"/>
  <c r="T109" i="7"/>
  <c r="S109" i="7"/>
  <c r="R109" i="7"/>
  <c r="Q109" i="7"/>
  <c r="P109" i="7"/>
  <c r="O109" i="7"/>
  <c r="N109" i="7"/>
  <c r="M109" i="7"/>
  <c r="L109" i="7"/>
  <c r="K109" i="7"/>
  <c r="J109" i="7"/>
  <c r="I109" i="7"/>
  <c r="H109" i="7"/>
  <c r="G109" i="7"/>
  <c r="F109" i="7"/>
  <c r="E109" i="7"/>
  <c r="D109" i="7"/>
  <c r="C109" i="7"/>
  <c r="B109" i="7"/>
  <c r="AA105" i="7"/>
  <c r="Z105" i="7"/>
  <c r="Y105" i="7"/>
  <c r="X105" i="7"/>
  <c r="W105" i="7"/>
  <c r="V105" i="7"/>
  <c r="U105" i="7"/>
  <c r="T105" i="7"/>
  <c r="S105" i="7"/>
  <c r="R105" i="7"/>
  <c r="Q105" i="7"/>
  <c r="P105" i="7"/>
  <c r="O105" i="7"/>
  <c r="N105" i="7"/>
  <c r="M105" i="7"/>
  <c r="L105" i="7"/>
  <c r="K105" i="7"/>
  <c r="J105" i="7"/>
  <c r="I105" i="7"/>
  <c r="H105" i="7"/>
  <c r="G105" i="7"/>
  <c r="F105" i="7"/>
  <c r="E105" i="7"/>
  <c r="D105" i="7"/>
  <c r="C105" i="7"/>
  <c r="B105" i="7"/>
  <c r="AA101" i="7"/>
  <c r="Z101" i="7"/>
  <c r="Y101" i="7"/>
  <c r="X101" i="7"/>
  <c r="W101" i="7"/>
  <c r="V101" i="7"/>
  <c r="U101" i="7"/>
  <c r="T101" i="7"/>
  <c r="S101" i="7"/>
  <c r="R101" i="7"/>
  <c r="Q101" i="7"/>
  <c r="P101" i="7"/>
  <c r="O101" i="7"/>
  <c r="N101" i="7"/>
  <c r="M101" i="7"/>
  <c r="L101" i="7"/>
  <c r="K101" i="7"/>
  <c r="J101" i="7"/>
  <c r="I101" i="7"/>
  <c r="H101" i="7"/>
  <c r="G101" i="7"/>
  <c r="F101" i="7"/>
  <c r="E101" i="7"/>
  <c r="D101" i="7"/>
  <c r="C101" i="7"/>
  <c r="B101" i="7"/>
  <c r="AA100" i="7"/>
  <c r="Z100" i="7"/>
  <c r="Y100" i="7"/>
  <c r="X100" i="7"/>
  <c r="W100" i="7"/>
  <c r="V100" i="7"/>
  <c r="U100" i="7"/>
  <c r="T100" i="7"/>
  <c r="S100" i="7"/>
  <c r="R100" i="7"/>
  <c r="Q100" i="7"/>
  <c r="P100" i="7"/>
  <c r="O100" i="7"/>
  <c r="N100" i="7"/>
  <c r="M100" i="7"/>
  <c r="L100" i="7"/>
  <c r="K100" i="7"/>
  <c r="J100" i="7"/>
  <c r="I100" i="7"/>
  <c r="H100" i="7"/>
  <c r="G100" i="7"/>
  <c r="F100" i="7"/>
  <c r="E100" i="7"/>
  <c r="D100" i="7"/>
  <c r="C100" i="7"/>
  <c r="B100" i="7"/>
  <c r="AA99" i="7"/>
  <c r="Z99" i="7"/>
  <c r="Y99" i="7"/>
  <c r="X99" i="7"/>
  <c r="W99" i="7"/>
  <c r="V99" i="7"/>
  <c r="U99" i="7"/>
  <c r="T99" i="7"/>
  <c r="S99" i="7"/>
  <c r="R99" i="7"/>
  <c r="Q99" i="7"/>
  <c r="P99" i="7"/>
  <c r="O99" i="7"/>
  <c r="N99" i="7"/>
  <c r="M99" i="7"/>
  <c r="L99" i="7"/>
  <c r="K99" i="7"/>
  <c r="J99" i="7"/>
  <c r="I99" i="7"/>
  <c r="H99" i="7"/>
  <c r="G99" i="7"/>
  <c r="F99" i="7"/>
  <c r="E99" i="7"/>
  <c r="D99" i="7"/>
  <c r="C99" i="7"/>
  <c r="B99" i="7"/>
  <c r="AA95" i="7"/>
  <c r="Z95" i="7"/>
  <c r="Y95" i="7"/>
  <c r="X95" i="7"/>
  <c r="W95" i="7"/>
  <c r="V95" i="7"/>
  <c r="U95" i="7"/>
  <c r="T95" i="7"/>
  <c r="S95" i="7"/>
  <c r="R95" i="7"/>
  <c r="Q95" i="7"/>
  <c r="P95" i="7"/>
  <c r="O95" i="7"/>
  <c r="N95" i="7"/>
  <c r="M95" i="7"/>
  <c r="L95" i="7"/>
  <c r="K95" i="7"/>
  <c r="J95" i="7"/>
  <c r="I95" i="7"/>
  <c r="H95" i="7"/>
  <c r="G95" i="7"/>
  <c r="F95" i="7"/>
  <c r="E95" i="7"/>
  <c r="D95" i="7"/>
  <c r="C95" i="7"/>
  <c r="B95" i="7"/>
  <c r="AA94" i="7"/>
  <c r="Z94" i="7"/>
  <c r="Y94" i="7"/>
  <c r="X94" i="7"/>
  <c r="W94" i="7"/>
  <c r="V94" i="7"/>
  <c r="U94" i="7"/>
  <c r="T94" i="7"/>
  <c r="S94" i="7"/>
  <c r="R94" i="7"/>
  <c r="Q94" i="7"/>
  <c r="P94" i="7"/>
  <c r="O94" i="7"/>
  <c r="N94" i="7"/>
  <c r="M94" i="7"/>
  <c r="L94" i="7"/>
  <c r="K94" i="7"/>
  <c r="J94" i="7"/>
  <c r="I94" i="7"/>
  <c r="H94" i="7"/>
  <c r="G94" i="7"/>
  <c r="F94" i="7"/>
  <c r="E94" i="7"/>
  <c r="D94" i="7"/>
  <c r="C94" i="7"/>
  <c r="B94" i="7"/>
  <c r="AA93" i="7"/>
  <c r="Z93" i="7"/>
  <c r="Y93" i="7"/>
  <c r="X93" i="7"/>
  <c r="W93" i="7"/>
  <c r="V93" i="7"/>
  <c r="U93" i="7"/>
  <c r="T93" i="7"/>
  <c r="S93" i="7"/>
  <c r="R93" i="7"/>
  <c r="Q93" i="7"/>
  <c r="P93" i="7"/>
  <c r="O93" i="7"/>
  <c r="N93" i="7"/>
  <c r="M93" i="7"/>
  <c r="L93" i="7"/>
  <c r="K93" i="7"/>
  <c r="J93" i="7"/>
  <c r="I93" i="7"/>
  <c r="H93" i="7"/>
  <c r="G93" i="7"/>
  <c r="F93" i="7"/>
  <c r="E93" i="7"/>
  <c r="D93" i="7"/>
  <c r="C93" i="7"/>
  <c r="B93" i="7"/>
  <c r="AA92" i="7"/>
  <c r="Z92" i="7"/>
  <c r="Y92" i="7"/>
  <c r="X92" i="7"/>
  <c r="W92" i="7"/>
  <c r="V92" i="7"/>
  <c r="U92" i="7"/>
  <c r="T92" i="7"/>
  <c r="S92" i="7"/>
  <c r="R92" i="7"/>
  <c r="Q92" i="7"/>
  <c r="P92" i="7"/>
  <c r="O92" i="7"/>
  <c r="N92" i="7"/>
  <c r="M92" i="7"/>
  <c r="L92" i="7"/>
  <c r="K92" i="7"/>
  <c r="J92" i="7"/>
  <c r="I92" i="7"/>
  <c r="H92" i="7"/>
  <c r="G92" i="7"/>
  <c r="F92" i="7"/>
  <c r="E92" i="7"/>
  <c r="D92" i="7"/>
  <c r="C92" i="7"/>
  <c r="B92" i="7"/>
  <c r="AA91" i="7"/>
  <c r="Z91" i="7"/>
  <c r="Y91" i="7"/>
  <c r="X91" i="7"/>
  <c r="W91" i="7"/>
  <c r="V91" i="7"/>
  <c r="U91" i="7"/>
  <c r="T91" i="7"/>
  <c r="S91" i="7"/>
  <c r="R91" i="7"/>
  <c r="Q91" i="7"/>
  <c r="P91" i="7"/>
  <c r="O91" i="7"/>
  <c r="N91" i="7"/>
  <c r="M91" i="7"/>
  <c r="L91" i="7"/>
  <c r="K91" i="7"/>
  <c r="J91" i="7"/>
  <c r="I91" i="7"/>
  <c r="H91" i="7"/>
  <c r="G91" i="7"/>
  <c r="F91" i="7"/>
  <c r="E91" i="7"/>
  <c r="D91" i="7"/>
  <c r="C91" i="7"/>
  <c r="B91" i="7"/>
  <c r="AA90" i="7"/>
  <c r="Z90" i="7"/>
  <c r="Y90" i="7"/>
  <c r="X90" i="7"/>
  <c r="W90" i="7"/>
  <c r="V90" i="7"/>
  <c r="U90" i="7"/>
  <c r="T90" i="7"/>
  <c r="S90" i="7"/>
  <c r="R90" i="7"/>
  <c r="Q90" i="7"/>
  <c r="P90" i="7"/>
  <c r="O90" i="7"/>
  <c r="N90" i="7"/>
  <c r="M90" i="7"/>
  <c r="L90" i="7"/>
  <c r="K90" i="7"/>
  <c r="J90" i="7"/>
  <c r="I90" i="7"/>
  <c r="H90" i="7"/>
  <c r="G90" i="7"/>
  <c r="F90" i="7"/>
  <c r="E90" i="7"/>
  <c r="D90" i="7"/>
  <c r="C90" i="7"/>
  <c r="B90" i="7"/>
  <c r="C89" i="7"/>
  <c r="D89" i="7"/>
  <c r="E89" i="7"/>
  <c r="F89" i="7"/>
  <c r="G89" i="7"/>
  <c r="H89" i="7"/>
  <c r="I89" i="7"/>
  <c r="J89" i="7"/>
  <c r="K89" i="7"/>
  <c r="L89" i="7"/>
  <c r="M89" i="7"/>
  <c r="N89" i="7"/>
  <c r="O89" i="7"/>
  <c r="P89" i="7"/>
  <c r="Q89" i="7"/>
  <c r="R89" i="7"/>
  <c r="S89" i="7"/>
  <c r="T89" i="7"/>
  <c r="U89" i="7"/>
  <c r="V89" i="7"/>
  <c r="W89" i="7"/>
  <c r="X89" i="7"/>
  <c r="Y89" i="7"/>
  <c r="Z89" i="7"/>
  <c r="AA89" i="7"/>
  <c r="AA46" i="7"/>
  <c r="Y46" i="7"/>
  <c r="W46" i="7"/>
  <c r="U46" i="7"/>
  <c r="S46" i="7"/>
  <c r="Q46" i="7"/>
  <c r="O46" i="7"/>
  <c r="M46" i="7"/>
  <c r="K46" i="7"/>
  <c r="I46" i="7"/>
  <c r="G46" i="7"/>
  <c r="E46" i="7"/>
  <c r="AA45" i="7"/>
  <c r="Y45" i="7"/>
  <c r="W45" i="7"/>
  <c r="U45" i="7"/>
  <c r="S45" i="7"/>
  <c r="Q45" i="7"/>
  <c r="O45" i="7"/>
  <c r="M45" i="7"/>
  <c r="K45" i="7"/>
  <c r="I45" i="7"/>
  <c r="G45" i="7"/>
  <c r="E45" i="7"/>
  <c r="AA44" i="7"/>
  <c r="Y44" i="7"/>
  <c r="W44" i="7"/>
  <c r="U44" i="7"/>
  <c r="S44" i="7"/>
  <c r="Q44" i="7"/>
  <c r="O44" i="7"/>
  <c r="M44" i="7"/>
  <c r="K44" i="7"/>
  <c r="I44" i="7"/>
  <c r="G44" i="7"/>
  <c r="E44" i="7"/>
  <c r="AA40" i="7"/>
  <c r="Y40" i="7"/>
  <c r="W40" i="7"/>
  <c r="U40" i="7"/>
  <c r="S40" i="7"/>
  <c r="Q40" i="7"/>
  <c r="O40" i="7"/>
  <c r="M40" i="7"/>
  <c r="K40" i="7"/>
  <c r="I40" i="7"/>
  <c r="G40" i="7"/>
  <c r="E40" i="7"/>
  <c r="AA39" i="7"/>
  <c r="Y39" i="7"/>
  <c r="W39" i="7"/>
  <c r="U39" i="7"/>
  <c r="S39" i="7"/>
  <c r="Q39" i="7"/>
  <c r="O39" i="7"/>
  <c r="M39" i="7"/>
  <c r="K39" i="7"/>
  <c r="I39" i="7"/>
  <c r="G39" i="7"/>
  <c r="E39" i="7"/>
  <c r="AA38" i="7"/>
  <c r="Y38" i="7"/>
  <c r="W38" i="7"/>
  <c r="U38" i="7"/>
  <c r="S38" i="7"/>
  <c r="Q38" i="7"/>
  <c r="O38" i="7"/>
  <c r="M38" i="7"/>
  <c r="K38" i="7"/>
  <c r="I38" i="7"/>
  <c r="G38" i="7"/>
  <c r="E38" i="7"/>
  <c r="AA34" i="7"/>
  <c r="Y34" i="7"/>
  <c r="W34" i="7"/>
  <c r="U34" i="7"/>
  <c r="S34" i="7"/>
  <c r="Q34" i="7"/>
  <c r="O34" i="7"/>
  <c r="M34" i="7"/>
  <c r="K34" i="7"/>
  <c r="I34" i="7"/>
  <c r="G34" i="7"/>
  <c r="E34" i="7"/>
  <c r="AA33" i="7"/>
  <c r="Y33" i="7"/>
  <c r="W33" i="7"/>
  <c r="U33" i="7"/>
  <c r="S33" i="7"/>
  <c r="Q33" i="7"/>
  <c r="O33" i="7"/>
  <c r="M33" i="7"/>
  <c r="K33" i="7"/>
  <c r="I33" i="7"/>
  <c r="G33" i="7"/>
  <c r="E33" i="7"/>
  <c r="AA32" i="7"/>
  <c r="Y32" i="7"/>
  <c r="W32" i="7"/>
  <c r="U32" i="7"/>
  <c r="S32" i="7"/>
  <c r="Q32" i="7"/>
  <c r="O32" i="7"/>
  <c r="M32" i="7"/>
  <c r="K32" i="7"/>
  <c r="I32" i="7"/>
  <c r="G32" i="7"/>
  <c r="E32" i="7"/>
  <c r="AA28" i="7"/>
  <c r="Y28" i="7"/>
  <c r="W28" i="7"/>
  <c r="U28" i="7"/>
  <c r="S28" i="7"/>
  <c r="Q28" i="7"/>
  <c r="O28" i="7"/>
  <c r="M28" i="7"/>
  <c r="K28" i="7"/>
  <c r="I28" i="7"/>
  <c r="G28" i="7"/>
  <c r="E28" i="7"/>
  <c r="AA27" i="7"/>
  <c r="Y27" i="7"/>
  <c r="W27" i="7"/>
  <c r="U27" i="7"/>
  <c r="S27" i="7"/>
  <c r="Q27" i="7"/>
  <c r="O27" i="7"/>
  <c r="M27" i="7"/>
  <c r="K27" i="7"/>
  <c r="I27" i="7"/>
  <c r="G27" i="7"/>
  <c r="E27" i="7"/>
  <c r="AA26" i="7"/>
  <c r="Y26" i="7"/>
  <c r="W26" i="7"/>
  <c r="U26" i="7"/>
  <c r="S26" i="7"/>
  <c r="Q26" i="7"/>
  <c r="O26" i="7"/>
  <c r="M26" i="7"/>
  <c r="K26" i="7"/>
  <c r="I26" i="7"/>
  <c r="G26" i="7"/>
  <c r="E26" i="7"/>
  <c r="E20" i="7"/>
  <c r="G20" i="7"/>
  <c r="I20" i="7"/>
  <c r="K20" i="7"/>
  <c r="M20" i="7"/>
  <c r="O20" i="7"/>
  <c r="Q20" i="7"/>
  <c r="S20" i="7"/>
  <c r="U20" i="7"/>
  <c r="W20" i="7"/>
  <c r="Y20" i="7"/>
  <c r="AA20" i="7"/>
  <c r="E21" i="7"/>
  <c r="G21" i="7"/>
  <c r="I21" i="7"/>
  <c r="K21" i="7"/>
  <c r="M21" i="7"/>
  <c r="O21" i="7"/>
  <c r="Q21" i="7"/>
  <c r="S21" i="7"/>
  <c r="U21" i="7"/>
  <c r="W21" i="7"/>
  <c r="Y21" i="7"/>
  <c r="AA21" i="7"/>
  <c r="E22" i="7"/>
  <c r="G22" i="7"/>
  <c r="I22" i="7"/>
  <c r="K22" i="7"/>
  <c r="M22" i="7"/>
  <c r="O22" i="7"/>
  <c r="Q22" i="7"/>
  <c r="S22" i="7"/>
  <c r="U22" i="7"/>
  <c r="W22" i="7"/>
  <c r="Y22" i="7"/>
  <c r="AA22" i="7"/>
  <c r="I161" i="3"/>
  <c r="K161" i="3" s="1"/>
  <c r="I160" i="3"/>
  <c r="K160" i="3" s="1"/>
  <c r="I159" i="3"/>
  <c r="K159" i="3" s="1"/>
  <c r="I158" i="3"/>
  <c r="K158" i="3" s="1"/>
  <c r="I157" i="3"/>
  <c r="K157" i="3" s="1"/>
  <c r="I156" i="3"/>
  <c r="K156" i="3" s="1"/>
  <c r="I155" i="3"/>
  <c r="K155" i="3" s="1"/>
  <c r="I154" i="3"/>
  <c r="K154" i="3" s="1"/>
  <c r="I127" i="3"/>
  <c r="K127" i="3" s="1"/>
  <c r="I128" i="3"/>
  <c r="K128" i="3" s="1"/>
  <c r="I129" i="3"/>
  <c r="K129" i="3" s="1"/>
  <c r="I130" i="3"/>
  <c r="K130" i="3" s="1"/>
  <c r="I131" i="3"/>
  <c r="K131" i="3" s="1"/>
  <c r="I132" i="3"/>
  <c r="K132" i="3" s="1"/>
  <c r="I133" i="3"/>
  <c r="K133" i="3" s="1"/>
  <c r="I134" i="3"/>
  <c r="K134" i="3" s="1"/>
  <c r="I135" i="3"/>
  <c r="K135" i="3" s="1"/>
  <c r="I136" i="3"/>
  <c r="K136" i="3" s="1"/>
  <c r="I137" i="3"/>
  <c r="K137" i="3" s="1"/>
  <c r="I138" i="3"/>
  <c r="K138" i="3" s="1"/>
  <c r="I139" i="3"/>
  <c r="K139" i="3" s="1"/>
  <c r="I140" i="3"/>
  <c r="K140" i="3" s="1"/>
  <c r="I141" i="3"/>
  <c r="K141" i="3" s="1"/>
  <c r="I142" i="3"/>
  <c r="K142" i="3" s="1"/>
  <c r="I143" i="3"/>
  <c r="K143" i="3" s="1"/>
  <c r="I144" i="3"/>
  <c r="K144" i="3" s="1"/>
  <c r="I145" i="3"/>
  <c r="K145" i="3" s="1"/>
  <c r="I146" i="3"/>
  <c r="K146" i="3" s="1"/>
  <c r="I147" i="3"/>
  <c r="K147" i="3" s="1"/>
  <c r="I148" i="3"/>
  <c r="K148" i="3" s="1"/>
  <c r="I149" i="3"/>
  <c r="K149" i="3" s="1"/>
  <c r="I150" i="3"/>
  <c r="K150" i="3" s="1"/>
  <c r="I151" i="3"/>
  <c r="K151" i="3" s="1"/>
  <c r="I152" i="3"/>
  <c r="K152" i="3" s="1"/>
  <c r="I153" i="3"/>
  <c r="K153" i="3" s="1"/>
  <c r="I18" i="3"/>
  <c r="K18" i="3" s="1"/>
  <c r="I19" i="3"/>
  <c r="K19" i="3" s="1"/>
  <c r="I20" i="3"/>
  <c r="K20" i="3" s="1"/>
  <c r="I21" i="3"/>
  <c r="K21" i="3" s="1"/>
  <c r="I22" i="3"/>
  <c r="K22" i="3" s="1"/>
  <c r="I23" i="3"/>
  <c r="K23" i="3" s="1"/>
  <c r="I24" i="3"/>
  <c r="K24" i="3" s="1"/>
  <c r="I25" i="3"/>
  <c r="K25" i="3" s="1"/>
  <c r="I26" i="3"/>
  <c r="K26" i="3" s="1"/>
  <c r="I27" i="3"/>
  <c r="K27" i="3" s="1"/>
  <c r="I28" i="3"/>
  <c r="K28" i="3" s="1"/>
  <c r="I29" i="3"/>
  <c r="K29" i="3" s="1"/>
  <c r="I30" i="3"/>
  <c r="K30" i="3" s="1"/>
  <c r="I31" i="3"/>
  <c r="K31" i="3" s="1"/>
  <c r="I32" i="3"/>
  <c r="K32" i="3" s="1"/>
  <c r="I33" i="3"/>
  <c r="K33" i="3" s="1"/>
  <c r="I34" i="3"/>
  <c r="K34" i="3" s="1"/>
  <c r="I35" i="3"/>
  <c r="K35" i="3" s="1"/>
  <c r="I36" i="3"/>
  <c r="K36" i="3" s="1"/>
  <c r="I37" i="3"/>
  <c r="K37" i="3" s="1"/>
  <c r="I38" i="3"/>
  <c r="K38" i="3" s="1"/>
  <c r="I39" i="3"/>
  <c r="K39" i="3" s="1"/>
  <c r="I40" i="3"/>
  <c r="K40" i="3" s="1"/>
  <c r="I41" i="3"/>
  <c r="K41" i="3" s="1"/>
  <c r="I42" i="3"/>
  <c r="K42" i="3" s="1"/>
  <c r="I43" i="3"/>
  <c r="K43" i="3" s="1"/>
  <c r="I44" i="3"/>
  <c r="K44" i="3" s="1"/>
  <c r="I45" i="3"/>
  <c r="K45" i="3" s="1"/>
  <c r="I46" i="3"/>
  <c r="K46" i="3" s="1"/>
  <c r="I47" i="3"/>
  <c r="K47" i="3" s="1"/>
  <c r="I48" i="3"/>
  <c r="K48" i="3" s="1"/>
  <c r="I49" i="3"/>
  <c r="K49" i="3" s="1"/>
  <c r="I50" i="3"/>
  <c r="K50" i="3" s="1"/>
  <c r="I51" i="3"/>
  <c r="K51" i="3" s="1"/>
  <c r="I52" i="3"/>
  <c r="K52" i="3" s="1"/>
  <c r="I53" i="3"/>
  <c r="K53" i="3" s="1"/>
  <c r="I54" i="3"/>
  <c r="K54" i="3" s="1"/>
  <c r="I55" i="3"/>
  <c r="K55" i="3" s="1"/>
  <c r="I56" i="3"/>
  <c r="K56" i="3" s="1"/>
  <c r="I57" i="3"/>
  <c r="K57" i="3" s="1"/>
  <c r="I58" i="3"/>
  <c r="K58" i="3" s="1"/>
  <c r="I59" i="3"/>
  <c r="K59" i="3" s="1"/>
  <c r="I60" i="3"/>
  <c r="K60" i="3" s="1"/>
  <c r="I61" i="3"/>
  <c r="K61" i="3" s="1"/>
  <c r="I62" i="3"/>
  <c r="K62" i="3" s="1"/>
  <c r="I63" i="3"/>
  <c r="K63" i="3" s="1"/>
  <c r="I64" i="3"/>
  <c r="K64" i="3" s="1"/>
  <c r="I65" i="3"/>
  <c r="K65" i="3" s="1"/>
  <c r="I66" i="3"/>
  <c r="K66" i="3" s="1"/>
  <c r="I67" i="3"/>
  <c r="K67" i="3" s="1"/>
  <c r="I68" i="3"/>
  <c r="K68" i="3" s="1"/>
  <c r="I69" i="3"/>
  <c r="K69" i="3" s="1"/>
  <c r="I70" i="3"/>
  <c r="K70" i="3" s="1"/>
  <c r="I71" i="3"/>
  <c r="K71" i="3" s="1"/>
  <c r="I72" i="3"/>
  <c r="K72" i="3" s="1"/>
  <c r="I73" i="3"/>
  <c r="K73" i="3" s="1"/>
  <c r="I74" i="3"/>
  <c r="K74" i="3" s="1"/>
  <c r="I75" i="3"/>
  <c r="K75" i="3" s="1"/>
  <c r="I76" i="3"/>
  <c r="K76" i="3" s="1"/>
  <c r="I77" i="3"/>
  <c r="K77" i="3" s="1"/>
  <c r="I78" i="3"/>
  <c r="K78" i="3" s="1"/>
  <c r="I79" i="3"/>
  <c r="K79" i="3" s="1"/>
  <c r="I80" i="3"/>
  <c r="K80" i="3" s="1"/>
  <c r="I81" i="3"/>
  <c r="K81" i="3" s="1"/>
  <c r="I82" i="3"/>
  <c r="K82" i="3" s="1"/>
  <c r="I83" i="3"/>
  <c r="K83" i="3" s="1"/>
  <c r="I84" i="3"/>
  <c r="K84" i="3" s="1"/>
  <c r="I85" i="3"/>
  <c r="K85" i="3" s="1"/>
  <c r="I86" i="3"/>
  <c r="K86" i="3" s="1"/>
  <c r="I87" i="3"/>
  <c r="K87" i="3" s="1"/>
  <c r="I88" i="3"/>
  <c r="K88" i="3" s="1"/>
  <c r="I89" i="3"/>
  <c r="K89" i="3" s="1"/>
  <c r="I90" i="3"/>
  <c r="K90" i="3" s="1"/>
  <c r="I91" i="3"/>
  <c r="K91" i="3" s="1"/>
  <c r="I92" i="3"/>
  <c r="K92" i="3" s="1"/>
  <c r="I93" i="3"/>
  <c r="K93" i="3" s="1"/>
  <c r="I94" i="3"/>
  <c r="K94" i="3" s="1"/>
  <c r="I95" i="3"/>
  <c r="K95" i="3" s="1"/>
  <c r="I96" i="3"/>
  <c r="K96" i="3" s="1"/>
  <c r="I97" i="3"/>
  <c r="K97" i="3" s="1"/>
  <c r="I98" i="3"/>
  <c r="K98" i="3" s="1"/>
  <c r="I99" i="3"/>
  <c r="K99" i="3" s="1"/>
  <c r="I100" i="3"/>
  <c r="K100" i="3" s="1"/>
  <c r="I101" i="3"/>
  <c r="K101" i="3" s="1"/>
  <c r="I102" i="3"/>
  <c r="K102" i="3" s="1"/>
  <c r="I103" i="3"/>
  <c r="K103" i="3" s="1"/>
  <c r="I104" i="3"/>
  <c r="K104" i="3" s="1"/>
  <c r="I105" i="3"/>
  <c r="K105" i="3" s="1"/>
  <c r="I106" i="3"/>
  <c r="K106" i="3" s="1"/>
  <c r="I107" i="3"/>
  <c r="K107" i="3" s="1"/>
  <c r="I108" i="3"/>
  <c r="K108" i="3" s="1"/>
  <c r="I109" i="3"/>
  <c r="K109" i="3" s="1"/>
  <c r="I110" i="3"/>
  <c r="K110" i="3" s="1"/>
  <c r="I111" i="3"/>
  <c r="K111" i="3" s="1"/>
  <c r="I112" i="3"/>
  <c r="K112" i="3" s="1"/>
  <c r="I113" i="3"/>
  <c r="K113" i="3" s="1"/>
  <c r="I114" i="3"/>
  <c r="K114" i="3" s="1"/>
  <c r="I115" i="3"/>
  <c r="K115" i="3" s="1"/>
  <c r="I116" i="3"/>
  <c r="K116" i="3" s="1"/>
  <c r="I117" i="3"/>
  <c r="K117" i="3" s="1"/>
  <c r="I118" i="3"/>
  <c r="K118" i="3" s="1"/>
  <c r="I119" i="3"/>
  <c r="K119" i="3" s="1"/>
  <c r="I120" i="3"/>
  <c r="K120" i="3" s="1"/>
  <c r="I121" i="3"/>
  <c r="K121" i="3" s="1"/>
  <c r="I122" i="3"/>
  <c r="K122" i="3" s="1"/>
  <c r="I123" i="3"/>
  <c r="K123" i="3" s="1"/>
  <c r="I124" i="3"/>
  <c r="K124" i="3" s="1"/>
  <c r="I125" i="3"/>
  <c r="K125" i="3" s="1"/>
  <c r="I126" i="3"/>
  <c r="K126" i="3" s="1"/>
  <c r="I17" i="3"/>
  <c r="K17" i="3" s="1"/>
  <c r="I186" i="3"/>
  <c r="K186" i="3" s="1"/>
  <c r="I184" i="3"/>
  <c r="K184" i="3" s="1"/>
  <c r="I215" i="3" l="1"/>
  <c r="K215" i="3" s="1"/>
  <c r="I197" i="3"/>
  <c r="K197" i="3" s="1"/>
  <c r="I208" i="3"/>
  <c r="K208" i="3" s="1"/>
  <c r="I199" i="3"/>
  <c r="K199" i="3" s="1"/>
  <c r="I203" i="3"/>
  <c r="K203" i="3" s="1"/>
  <c r="I189" i="3"/>
  <c r="K189" i="3" s="1"/>
  <c r="I200" i="3"/>
  <c r="K200" i="3" s="1"/>
  <c r="I217" i="3"/>
  <c r="K217" i="3" s="1"/>
  <c r="I188" i="3"/>
  <c r="K188" i="3" s="1"/>
  <c r="I205" i="3"/>
  <c r="K205" i="3" s="1"/>
  <c r="I212" i="3"/>
  <c r="K212" i="3" s="1"/>
  <c r="I236" i="3"/>
  <c r="K236" i="3" s="1"/>
  <c r="I235" i="3"/>
  <c r="K235" i="3" s="1"/>
  <c r="I213" i="3"/>
  <c r="K213" i="3" s="1"/>
  <c r="I187" i="3"/>
  <c r="K187" i="3" s="1"/>
  <c r="I214" i="3"/>
  <c r="K214" i="3" s="1"/>
  <c r="I220" i="3"/>
  <c r="K220" i="3" s="1"/>
  <c r="I206" i="3"/>
  <c r="K206" i="3" s="1"/>
  <c r="I226" i="3"/>
  <c r="K226" i="3" s="1"/>
  <c r="I232" i="3"/>
  <c r="K232" i="3" s="1"/>
  <c r="I190" i="3"/>
  <c r="K190" i="3" s="1"/>
  <c r="I195" i="3"/>
  <c r="K195" i="3" s="1"/>
  <c r="I198" i="3"/>
  <c r="K198" i="3" s="1"/>
  <c r="I202" i="3"/>
  <c r="K202" i="3" s="1"/>
  <c r="I223" i="3"/>
  <c r="K223" i="3" s="1"/>
  <c r="I229" i="3"/>
  <c r="K229" i="3" s="1"/>
  <c r="I222" i="3"/>
  <c r="K222" i="3" s="1"/>
  <c r="I201" i="3"/>
  <c r="K201" i="3" s="1"/>
  <c r="I204" i="3"/>
  <c r="K204" i="3" s="1"/>
  <c r="I209" i="3"/>
  <c r="K209" i="3" s="1"/>
  <c r="I210" i="3"/>
  <c r="K210" i="3" s="1"/>
  <c r="I218" i="3"/>
  <c r="K218" i="3" s="1"/>
  <c r="I221" i="3"/>
  <c r="K221" i="3" s="1"/>
  <c r="I224" i="3"/>
  <c r="K224" i="3" s="1"/>
  <c r="I230" i="3"/>
  <c r="K230" i="3" s="1"/>
  <c r="I194" i="3"/>
  <c r="K194" i="3" s="1"/>
  <c r="I207" i="3"/>
  <c r="K207" i="3" s="1"/>
  <c r="I211" i="3"/>
  <c r="K211" i="3" s="1"/>
  <c r="I216" i="3"/>
  <c r="K216" i="3" s="1"/>
  <c r="I219" i="3"/>
  <c r="K219" i="3" s="1"/>
  <c r="I225" i="3"/>
  <c r="K225" i="3" s="1"/>
  <c r="I191" i="3"/>
  <c r="K191" i="3" s="1"/>
  <c r="I192" i="3"/>
  <c r="K192" i="3" s="1"/>
  <c r="I196" i="3"/>
  <c r="K196" i="3" s="1"/>
  <c r="I237" i="3"/>
  <c r="K237" i="3" s="1"/>
  <c r="I231" i="3"/>
  <c r="K231" i="3" s="1"/>
  <c r="I233" i="3"/>
  <c r="K233" i="3" s="1"/>
  <c r="I193" i="3"/>
  <c r="K193" i="3" s="1"/>
  <c r="I227" i="3"/>
  <c r="K227" i="3" s="1"/>
  <c r="I228" i="3"/>
  <c r="K228" i="3" s="1"/>
</calcChain>
</file>

<file path=xl/sharedStrings.xml><?xml version="1.0" encoding="utf-8"?>
<sst xmlns="http://schemas.openxmlformats.org/spreadsheetml/2006/main" count="642" uniqueCount="188">
  <si>
    <t>Enquête de conjoncture - Industrie</t>
  </si>
  <si>
    <t>Réponses en % du total des réponses obtenues</t>
  </si>
  <si>
    <t>Appréciation</t>
  </si>
  <si>
    <t>Ensemble de l'industrie</t>
  </si>
  <si>
    <t>Travail du bois et fabrication d'articles en bois</t>
  </si>
  <si>
    <t>Industrie du caoutchouc et des plastiques</t>
  </si>
  <si>
    <t>Fabrication d'autres produits minéraux non métalliques</t>
  </si>
  <si>
    <t>Métallurgie</t>
  </si>
  <si>
    <t>Mois</t>
  </si>
  <si>
    <t>t-1</t>
  </si>
  <si>
    <t>t</t>
  </si>
  <si>
    <t>- augmentation</t>
  </si>
  <si>
    <t>- stabilité</t>
  </si>
  <si>
    <t>- diminution</t>
  </si>
  <si>
    <t>4. Appréciation des stocks de produits finis</t>
  </si>
  <si>
    <t>t-3</t>
  </si>
  <si>
    <t>9. Jugement sur la capacité de production</t>
  </si>
  <si>
    <t>- plus que suffisante</t>
  </si>
  <si>
    <t>- suffisante</t>
  </si>
  <si>
    <t>- insuffisante</t>
  </si>
  <si>
    <t>10. Durée de production assurée (en mois)</t>
  </si>
  <si>
    <t>13. Degré d'utilisation de la capacité de production (en %)</t>
  </si>
  <si>
    <t>INDICATEURS RAPIDES - SÉRIE J1</t>
  </si>
  <si>
    <t>2. Etat du carnet de commandes total</t>
  </si>
  <si>
    <t>- plus que suffisant</t>
  </si>
  <si>
    <t>- suffisant</t>
  </si>
  <si>
    <t>- insuffisant</t>
  </si>
  <si>
    <t>3. Etat du carnet de commandes étrangères</t>
  </si>
  <si>
    <t>- adéquats</t>
  </si>
  <si>
    <t xml:space="preserve">5. Perspectives d'évolution de la production </t>
  </si>
  <si>
    <t>- à l'augmentation</t>
  </si>
  <si>
    <t>- à la stabilité</t>
  </si>
  <si>
    <t>- à la diminution</t>
  </si>
  <si>
    <t xml:space="preserve">6. Perspectives d'évolution des prix de vente </t>
  </si>
  <si>
    <t>7. Perspectives d'évolution de l'emploi</t>
  </si>
  <si>
    <t>- Aucun</t>
  </si>
  <si>
    <t>11. Entrées de commandes</t>
  </si>
  <si>
    <t>- en augmentation</t>
  </si>
  <si>
    <t>- en diminution</t>
  </si>
  <si>
    <t>12. Perspectives d'évolution des commandes de l'étranger</t>
  </si>
  <si>
    <t>14. Jugement sur la position concurrentielle</t>
  </si>
  <si>
    <t>- améliorée</t>
  </si>
  <si>
    <t>- inchangée</t>
  </si>
  <si>
    <t>- détériorée</t>
  </si>
  <si>
    <t>- Activité limitée par:</t>
  </si>
  <si>
    <t xml:space="preserve">    - manque de m.-d'oeuvre</t>
  </si>
  <si>
    <t xml:space="preserve">    - Insuff. de la demande</t>
  </si>
  <si>
    <t xml:space="preserve">    - insuff. d'équipement</t>
  </si>
  <si>
    <t xml:space="preserve">    - autres facteurs</t>
  </si>
  <si>
    <t>- Durée assurée en mois</t>
  </si>
  <si>
    <t>- stables</t>
  </si>
  <si>
    <t>- Degré d'utilisation en %</t>
  </si>
  <si>
    <t>- trop élevés</t>
  </si>
  <si>
    <t>- trop petits</t>
  </si>
  <si>
    <t xml:space="preserve">    - contraintes financières</t>
  </si>
  <si>
    <t>page 1</t>
  </si>
  <si>
    <t>2003</t>
  </si>
  <si>
    <t>2002</t>
  </si>
  <si>
    <t>Année</t>
  </si>
  <si>
    <t xml:space="preserve"> </t>
  </si>
  <si>
    <t>Questions mensuelles</t>
  </si>
  <si>
    <t>Moyenne mobile de 12 mois du solde des réponses positives et négatives</t>
  </si>
  <si>
    <t>Industries alimentaires, boissons, tabac</t>
  </si>
  <si>
    <t>Industrie textile et habillement</t>
  </si>
  <si>
    <t>Industrie du papier et carton; Imprimerie et reproduction</t>
  </si>
  <si>
    <t>Industrie chimique et pharmaceu-tique</t>
  </si>
  <si>
    <t>Fabrication de produits métalliques</t>
  </si>
  <si>
    <t>Produits informatiques, électroniques, optiques et électriques</t>
  </si>
  <si>
    <t>Machines et équipements</t>
  </si>
  <si>
    <t>Autres industries</t>
  </si>
  <si>
    <t>Nace 13</t>
  </si>
  <si>
    <t>Nace 16</t>
  </si>
  <si>
    <t>Nace 17 et 18</t>
  </si>
  <si>
    <t>Nace 20 et 21</t>
  </si>
  <si>
    <t>Nace 22</t>
  </si>
  <si>
    <t>Nace 23</t>
  </si>
  <si>
    <t>Nace 24</t>
  </si>
  <si>
    <t>Nace 25</t>
  </si>
  <si>
    <t>Nace 26 et 27</t>
  </si>
  <si>
    <t>Nace 28</t>
  </si>
  <si>
    <t>Nace 29 à 33</t>
  </si>
  <si>
    <t xml:space="preserve">                                     1. Tendance récente de la production</t>
  </si>
  <si>
    <t>Q1:Tendances récentes de la production (NACE Rev2)</t>
  </si>
  <si>
    <t>Q10: Durée de production assurée</t>
  </si>
  <si>
    <t>Business survey - Industry</t>
  </si>
  <si>
    <t>Monthly questions</t>
  </si>
  <si>
    <t>Month</t>
  </si>
  <si>
    <t>Total industry</t>
  </si>
  <si>
    <t>Manufacture of food, beverage and tobacco</t>
  </si>
  <si>
    <t>Manufacture of textiles and wearings</t>
  </si>
  <si>
    <t>Manufacture of wood and wood products</t>
  </si>
  <si>
    <t>Manufacture of articles of paper and paperboard, printing activities</t>
  </si>
  <si>
    <t>Manufacture of chemical and pharmaceu- tical products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</si>
  <si>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</si>
  <si>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</si>
  <si>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</si>
  <si>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</si>
  <si>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products, electrical equipment</t>
  </si>
  <si>
    <t>Manufacture of machinery and equipment</t>
  </si>
  <si>
    <t>Other industries</t>
  </si>
  <si>
    <t xml:space="preserve">                                     1. Recent production trends</t>
  </si>
  <si>
    <t>2. State of the current overall order books</t>
  </si>
  <si>
    <t>3. State of the current export order books</t>
  </si>
  <si>
    <t>Opinion</t>
  </si>
  <si>
    <t>4. State of the current stock of finished goods</t>
  </si>
  <si>
    <t>5. Production outlook</t>
  </si>
  <si>
    <t>6. Selling prices outlook</t>
  </si>
  <si>
    <t>7. Employment outlook</t>
  </si>
  <si>
    <t>Nace 10 to 12</t>
  </si>
  <si>
    <t>Nace 17 + 18</t>
  </si>
  <si>
    <t>Nace 20 + 21</t>
  </si>
  <si>
    <t>Nace 26 + 27</t>
  </si>
  <si>
    <t>Nace 29 to 33</t>
  </si>
  <si>
    <t>- increased</t>
  </si>
  <si>
    <t>- remain unchanged</t>
  </si>
  <si>
    <t>- decreased</t>
  </si>
  <si>
    <t>- more than sufficient</t>
  </si>
  <si>
    <t>- sufficient</t>
  </si>
  <si>
    <t>- not sufficient</t>
  </si>
  <si>
    <t>- too large</t>
  </si>
  <si>
    <t>- adequate</t>
  </si>
  <si>
    <t>- too small</t>
  </si>
  <si>
    <t>9. Assessment of the current production capacity</t>
  </si>
  <si>
    <t>10. Duration of assured production (in months)</t>
  </si>
  <si>
    <t>11. New orders outlook</t>
  </si>
  <si>
    <t>12.New export orders outlook</t>
  </si>
  <si>
    <t>13. Production capacity utilization (in %)</t>
  </si>
  <si>
    <t>14. Assessment on the competitive position</t>
  </si>
  <si>
    <t>- None</t>
  </si>
  <si>
    <t>- Activity limited by:</t>
  </si>
  <si>
    <t xml:space="preserve">    - insufficient demand</t>
  </si>
  <si>
    <t xml:space="preserve">    - shortage of labour force</t>
  </si>
  <si>
    <t xml:space="preserve">    - shortage of equipment</t>
  </si>
  <si>
    <t xml:space="preserve">    - financial constraints</t>
  </si>
  <si>
    <t xml:space="preserve">    - other factors</t>
  </si>
  <si>
    <t>- increase</t>
  </si>
  <si>
    <t>- remain stable</t>
  </si>
  <si>
    <t>- decrease</t>
  </si>
  <si>
    <t>- Duration assured in months</t>
  </si>
  <si>
    <t>- Capacity utilization in %</t>
  </si>
  <si>
    <t>- improved</t>
  </si>
  <si>
    <t>- remained unchanged</t>
  </si>
  <si>
    <t>- deteriorated</t>
  </si>
  <si>
    <t>Moving average of 12 months of the balance of positive and negative answers</t>
  </si>
  <si>
    <t>Feuille</t>
  </si>
  <si>
    <t>Libellé</t>
  </si>
  <si>
    <t>IRJ1_FR</t>
  </si>
  <si>
    <t>graphique J1_FR</t>
  </si>
  <si>
    <t>Graphiques</t>
  </si>
  <si>
    <t>données J1</t>
  </si>
  <si>
    <t>Soldes utilisés dans les graphiques</t>
  </si>
  <si>
    <t>Sheet</t>
  </si>
  <si>
    <t>Wording</t>
  </si>
  <si>
    <t>IRJ1_EN</t>
  </si>
  <si>
    <t>graph J1_EN</t>
  </si>
  <si>
    <t>Graphs</t>
  </si>
  <si>
    <t>Balances used in graphs</t>
  </si>
  <si>
    <t>page 2</t>
  </si>
  <si>
    <t>Answers in % of the total answers received</t>
  </si>
  <si>
    <t>Nace 10 à 12</t>
  </si>
  <si>
    <t>Version française</t>
  </si>
  <si>
    <t>English Version</t>
  </si>
  <si>
    <t>Enquêtes de conjoncture - Industrie</t>
  </si>
  <si>
    <t>Business surveys - Industry</t>
  </si>
  <si>
    <t>8. Factors limiting the production (several answers possible)</t>
  </si>
  <si>
    <t>1 Quarterly questions published for the months of January, April, July and October. From April 2020, these questions will be monthly.</t>
  </si>
  <si>
    <t>1 Questions trimestrielles publiées pour les mois de janvier, avril, juillet et octobre. A partir d'avril 2020, ces questions seront mensuelles</t>
  </si>
  <si>
    <t xml:space="preserve">8. Facteurs limitant la production (plusieurs réponses possibles) </t>
  </si>
  <si>
    <r>
      <t xml:space="preserve">Questions mensuelles </t>
    </r>
    <r>
      <rPr>
        <b/>
        <vertAlign val="superscript"/>
        <sz val="16"/>
        <rFont val="Calibri"/>
        <family val="2"/>
        <scheme val="minor"/>
      </rPr>
      <t>1</t>
    </r>
  </si>
  <si>
    <r>
      <t xml:space="preserve">Monthly questions </t>
    </r>
    <r>
      <rPr>
        <b/>
        <vertAlign val="superscript"/>
        <sz val="16"/>
        <rFont val="Calibri"/>
        <family val="2"/>
        <scheme val="minor"/>
      </rPr>
      <t>1</t>
    </r>
  </si>
  <si>
    <t>5.1. Business development predictions</t>
  </si>
  <si>
    <t>- easy to predict</t>
  </si>
  <si>
    <t>- moderately easy to predict</t>
  </si>
  <si>
    <t>- moderately difficult to predict</t>
  </si>
  <si>
    <t>- difficult to predict</t>
  </si>
  <si>
    <t>- facile à prévoir</t>
  </si>
  <si>
    <t>- relativement facile à prévoir</t>
  </si>
  <si>
    <t>- relativement difficile à prévoir</t>
  </si>
  <si>
    <t>- difficile à prévoir</t>
  </si>
  <si>
    <t>5.1. Prévisions du développement de l'entreprise</t>
  </si>
  <si>
    <t>INDICATEURS A COURT TERME - J1</t>
  </si>
  <si>
    <t>INDICATEURS A COURT TERME - J1 - Enquêtes de conjoncture Industrie</t>
  </si>
  <si>
    <t>SHORT-TERM INDICATORS - J1</t>
  </si>
  <si>
    <t>SHORT-TERM INDICATORS - J1 - Business survey industry</t>
  </si>
  <si>
    <t xml:space="preserve">Mois de juillet 2025 (Mois t) </t>
  </si>
  <si>
    <t xml:space="preserve">July 2025 (month t) </t>
  </si>
  <si>
    <t>Édition du 22 juillet 2025 N°7/2025</t>
  </si>
  <si>
    <t>Edition of July 22nd, 2025 N°7/2025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</si>
</sst>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-;\-* #,##0.00\ _F_-;_-* &quot;-&quot;??\ _F_-;_-@_-"/>
    <numFmt numFmtId="165" formatCode="??0"/>
    <numFmt numFmtId="166" formatCode="0.0"/>
  </numFmts>
  <fonts count="24">
    <font>
      <sz val="10"/>
      <name val="RotisSansSerif"/>
    </font>
    <font>
      <sz val="10"/>
      <name val="RotisSansSerif"/>
      <family val="2"/>
    </font>
    <font>
      <sz val="8"/>
      <name val="RotisSansSerif"/>
      <family val="2"/>
    </font>
    <font>
      <u/>
      <sz val="10"/>
      <color indexed="12"/>
      <name val="Arial"/>
      <family val="2"/>
    </font>
    <font>
      <sz val="10"/>
      <name val="Helv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22"/>
      <name val="Calibri"/>
      <family val="2"/>
      <scheme val="minor"/>
    </font>
    <font>
      <b/>
      <sz val="22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10"/>
      <name val="Calibri"/>
      <family val="2"/>
      <scheme val="minor"/>
    </font>
    <font>
      <b/>
      <vertAlign val="superscript"/>
      <sz val="16"/>
      <name val="Calibri"/>
      <family val="2"/>
      <scheme val="minor"/>
    </font>
    <font>
      <vertAlign val="superscript"/>
      <sz val="14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name val="Calibri"/>
      <family val="2"/>
      <scheme val="minor"/>
    </font>
    <font>
      <u/>
      <sz val="14"/>
      <color indexed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DC30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2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236">
    <xf numFmtId="0" fontId="0" fillId="0" borderId="0" xfId="0"/>
    <xf numFmtId="0" fontId="7" fillId="0" borderId="0" xfId="0" applyFont="1"/>
    <xf numFmtId="0" fontId="5" fillId="0" borderId="0" xfId="0" applyFont="1" applyAlignment="1"/>
    <xf numFmtId="0" fontId="6" fillId="0" borderId="0" xfId="0" applyFont="1"/>
    <xf numFmtId="0" fontId="6" fillId="0" borderId="0" xfId="0" applyFont="1" applyFill="1"/>
    <xf numFmtId="0" fontId="7" fillId="0" borderId="0" xfId="0" applyFont="1" applyFill="1"/>
    <xf numFmtId="0" fontId="7" fillId="0" borderId="0" xfId="0" quotePrefix="1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Continuous"/>
    </xf>
    <xf numFmtId="0" fontId="9" fillId="0" borderId="0" xfId="0" applyFont="1" applyAlignment="1">
      <alignment horizontal="right"/>
    </xf>
    <xf numFmtId="0" fontId="8" fillId="0" borderId="0" xfId="0" applyFont="1"/>
    <xf numFmtId="0" fontId="5" fillId="0" borderId="0" xfId="0" applyFont="1" applyAlignment="1">
      <alignment horizontal="left"/>
    </xf>
    <xf numFmtId="0" fontId="12" fillId="0" borderId="0" xfId="0" applyFont="1"/>
    <xf numFmtId="0" fontId="9" fillId="0" borderId="0" xfId="0" applyFont="1" applyAlignment="1">
      <alignment horizontal="centerContinuous"/>
    </xf>
    <xf numFmtId="0" fontId="13" fillId="0" borderId="0" xfId="0" applyFont="1"/>
    <xf numFmtId="0" fontId="14" fillId="0" borderId="0" xfId="0" quotePrefix="1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9" fillId="0" borderId="0" xfId="0" applyFont="1"/>
    <xf numFmtId="0" fontId="9" fillId="0" borderId="5" xfId="0" applyFont="1" applyFill="1" applyBorder="1" applyAlignment="1">
      <alignment horizontal="center" vertical="center" wrapText="1"/>
    </xf>
    <xf numFmtId="0" fontId="9" fillId="0" borderId="11" xfId="0" applyFont="1" applyBorder="1"/>
    <xf numFmtId="0" fontId="9" fillId="0" borderId="9" xfId="0" applyFont="1" applyBorder="1" applyAlignment="1">
      <alignment horizontal="centerContinuous"/>
    </xf>
    <xf numFmtId="0" fontId="9" fillId="0" borderId="2" xfId="0" applyFont="1" applyBorder="1" applyAlignment="1">
      <alignment horizontal="centerContinuous"/>
    </xf>
    <xf numFmtId="0" fontId="9" fillId="0" borderId="6" xfId="0" applyFont="1" applyBorder="1" applyAlignment="1">
      <alignment horizontal="centerContinuous"/>
    </xf>
    <xf numFmtId="0" fontId="9" fillId="0" borderId="1" xfId="0" applyFont="1" applyBorder="1"/>
    <xf numFmtId="0" fontId="15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9" fillId="0" borderId="2" xfId="0" applyFont="1" applyBorder="1" applyProtection="1">
      <protection locked="0"/>
    </xf>
    <xf numFmtId="0" fontId="9" fillId="0" borderId="1" xfId="0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4" xfId="0" applyFont="1" applyBorder="1" applyProtection="1">
      <protection locked="0"/>
    </xf>
    <xf numFmtId="49" fontId="9" fillId="0" borderId="9" xfId="0" applyNumberFormat="1" applyFont="1" applyBorder="1" applyAlignment="1">
      <alignment horizontal="left" indent="1"/>
    </xf>
    <xf numFmtId="1" fontId="9" fillId="0" borderId="0" xfId="0" applyNumberFormat="1" applyFont="1" applyBorder="1" applyAlignment="1" applyProtection="1">
      <alignment horizontal="center"/>
      <protection locked="0"/>
    </xf>
    <xf numFmtId="1" fontId="9" fillId="0" borderId="2" xfId="0" applyNumberFormat="1" applyFont="1" applyBorder="1" applyAlignment="1" applyProtection="1">
      <alignment horizontal="center"/>
      <protection locked="0"/>
    </xf>
    <xf numFmtId="1" fontId="9" fillId="0" borderId="4" xfId="0" applyNumberFormat="1" applyFont="1" applyBorder="1" applyAlignment="1" applyProtection="1">
      <alignment horizontal="center"/>
      <protection locked="0"/>
    </xf>
    <xf numFmtId="1" fontId="15" fillId="0" borderId="0" xfId="0" applyNumberFormat="1" applyFont="1" applyBorder="1" applyAlignment="1" applyProtection="1">
      <alignment horizontal="centerContinuous"/>
      <protection locked="0"/>
    </xf>
    <xf numFmtId="1" fontId="9" fillId="0" borderId="0" xfId="0" applyNumberFormat="1" applyFont="1" applyBorder="1" applyProtection="1">
      <protection locked="0"/>
    </xf>
    <xf numFmtId="1" fontId="9" fillId="0" borderId="0" xfId="0" applyNumberFormat="1" applyFont="1" applyProtection="1">
      <protection locked="0"/>
    </xf>
    <xf numFmtId="1" fontId="9" fillId="0" borderId="0" xfId="0" applyNumberFormat="1" applyFont="1" applyBorder="1" applyAlignment="1" applyProtection="1">
      <alignment horizontal="centerContinuous"/>
      <protection locked="0"/>
    </xf>
    <xf numFmtId="1" fontId="9" fillId="0" borderId="0" xfId="0" applyNumberFormat="1" applyFont="1" applyAlignment="1" applyProtection="1">
      <alignment horizontal="centerContinuous"/>
      <protection locked="0"/>
    </xf>
    <xf numFmtId="1" fontId="9" fillId="0" borderId="0" xfId="0" applyNumberFormat="1" applyFont="1" applyBorder="1" applyAlignment="1" applyProtection="1">
      <alignment horizontal="left"/>
      <protection locked="0"/>
    </xf>
    <xf numFmtId="1" fontId="9" fillId="0" borderId="4" xfId="0" applyNumberFormat="1" applyFont="1" applyBorder="1" applyAlignment="1" applyProtection="1">
      <alignment horizontal="centerContinuous"/>
      <protection locked="0"/>
    </xf>
    <xf numFmtId="1" fontId="9" fillId="0" borderId="0" xfId="0" applyNumberFormat="1" applyFont="1" applyBorder="1" applyAlignment="1">
      <alignment horizontal="centerContinuous"/>
    </xf>
    <xf numFmtId="1" fontId="9" fillId="0" borderId="4" xfId="0" applyNumberFormat="1" applyFont="1" applyBorder="1" applyAlignment="1">
      <alignment horizontal="centerContinuous"/>
    </xf>
    <xf numFmtId="1" fontId="15" fillId="0" borderId="0" xfId="0" applyNumberFormat="1" applyFont="1" applyBorder="1" applyProtection="1">
      <protection locked="0"/>
    </xf>
    <xf numFmtId="1" fontId="9" fillId="0" borderId="4" xfId="0" applyNumberFormat="1" applyFont="1" applyBorder="1" applyProtection="1">
      <protection locked="0"/>
    </xf>
    <xf numFmtId="49" fontId="9" fillId="0" borderId="1" xfId="0" applyNumberFormat="1" applyFont="1" applyBorder="1"/>
    <xf numFmtId="1" fontId="9" fillId="0" borderId="0" xfId="0" applyNumberFormat="1" applyFont="1" applyAlignment="1" applyProtection="1">
      <alignment horizontal="center"/>
      <protection locked="0"/>
    </xf>
    <xf numFmtId="0" fontId="9" fillId="0" borderId="10" xfId="0" applyFont="1" applyBorder="1"/>
    <xf numFmtId="0" fontId="15" fillId="0" borderId="3" xfId="0" applyFont="1" applyBorder="1"/>
    <xf numFmtId="0" fontId="9" fillId="0" borderId="11" xfId="0" applyFont="1" applyBorder="1" applyProtection="1">
      <protection locked="0"/>
    </xf>
    <xf numFmtId="0" fontId="9" fillId="0" borderId="3" xfId="0" applyFont="1" applyBorder="1"/>
    <xf numFmtId="0" fontId="9" fillId="0" borderId="6" xfId="0" applyFont="1" applyBorder="1"/>
    <xf numFmtId="1" fontId="6" fillId="0" borderId="0" xfId="0" applyNumberFormat="1" applyFont="1"/>
    <xf numFmtId="0" fontId="16" fillId="0" borderId="0" xfId="0" applyFont="1" applyAlignment="1">
      <alignment horizontal="left"/>
    </xf>
    <xf numFmtId="0" fontId="10" fillId="0" borderId="0" xfId="0" applyFont="1"/>
    <xf numFmtId="0" fontId="7" fillId="0" borderId="0" xfId="0" applyFont="1" applyAlignment="1">
      <alignment horizontal="right"/>
    </xf>
    <xf numFmtId="0" fontId="9" fillId="0" borderId="7" xfId="0" applyFont="1" applyBorder="1" applyAlignment="1">
      <alignment horizontal="centerContinuous"/>
    </xf>
    <xf numFmtId="0" fontId="9" fillId="0" borderId="8" xfId="0" applyFont="1" applyBorder="1" applyAlignment="1">
      <alignment horizontal="centerContinuous"/>
    </xf>
    <xf numFmtId="0" fontId="9" fillId="0" borderId="2" xfId="0" applyFont="1" applyBorder="1"/>
    <xf numFmtId="49" fontId="9" fillId="0" borderId="1" xfId="0" applyNumberFormat="1" applyFont="1" applyBorder="1" applyAlignment="1">
      <alignment horizontal="centerContinuous"/>
    </xf>
    <xf numFmtId="165" fontId="9" fillId="0" borderId="0" xfId="0" applyNumberFormat="1" applyFont="1" applyBorder="1" applyAlignment="1" applyProtection="1">
      <alignment horizontal="center"/>
      <protection locked="0"/>
    </xf>
    <xf numFmtId="165" fontId="9" fillId="0" borderId="0" xfId="0" applyNumberFormat="1" applyFont="1" applyAlignment="1" applyProtection="1">
      <alignment horizontal="center"/>
      <protection locked="0"/>
    </xf>
    <xf numFmtId="165" fontId="9" fillId="0" borderId="2" xfId="0" applyNumberFormat="1" applyFont="1" applyBorder="1" applyAlignment="1" applyProtection="1">
      <alignment horizontal="center"/>
      <protection locked="0"/>
    </xf>
    <xf numFmtId="1" fontId="9" fillId="0" borderId="2" xfId="0" applyNumberFormat="1" applyFont="1" applyBorder="1" applyAlignment="1">
      <alignment horizontal="centerContinuous"/>
    </xf>
    <xf numFmtId="166" fontId="9" fillId="0" borderId="0" xfId="0" applyNumberFormat="1" applyFont="1" applyBorder="1" applyAlignment="1" applyProtection="1">
      <alignment horizontal="center"/>
      <protection locked="0"/>
    </xf>
    <xf numFmtId="166" fontId="9" fillId="0" borderId="2" xfId="0" applyNumberFormat="1" applyFont="1" applyBorder="1" applyAlignment="1" applyProtection="1">
      <alignment horizontal="center"/>
      <protection locked="0"/>
    </xf>
    <xf numFmtId="166" fontId="9" fillId="0" borderId="0" xfId="0" applyNumberFormat="1" applyFont="1" applyAlignment="1" applyProtection="1">
      <alignment horizontal="center"/>
      <protection locked="0"/>
    </xf>
    <xf numFmtId="49" fontId="9" fillId="0" borderId="1" xfId="0" applyNumberFormat="1" applyFont="1" applyBorder="1" applyAlignment="1">
      <alignment horizontal="left"/>
    </xf>
    <xf numFmtId="0" fontId="7" fillId="0" borderId="5" xfId="0" applyFont="1" applyBorder="1"/>
    <xf numFmtId="0" fontId="6" fillId="0" borderId="3" xfId="0" applyFont="1" applyBorder="1"/>
    <xf numFmtId="0" fontId="7" fillId="0" borderId="3" xfId="0" applyFont="1" applyBorder="1"/>
    <xf numFmtId="1" fontId="9" fillId="0" borderId="12" xfId="0" applyNumberFormat="1" applyFont="1" applyBorder="1" applyAlignment="1" applyProtection="1">
      <alignment horizontal="center"/>
      <protection locked="0"/>
    </xf>
    <xf numFmtId="0" fontId="7" fillId="0" borderId="3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18" fillId="0" borderId="0" xfId="0" applyFont="1" applyBorder="1" applyAlignment="1">
      <alignment horizontal="left"/>
    </xf>
    <xf numFmtId="0" fontId="6" fillId="0" borderId="0" xfId="0" applyFont="1" applyBorder="1"/>
    <xf numFmtId="0" fontId="7" fillId="0" borderId="0" xfId="0" applyFont="1" applyBorder="1"/>
    <xf numFmtId="0" fontId="7" fillId="0" borderId="0" xfId="0" applyFont="1" applyBorder="1" applyProtection="1">
      <protection locked="0"/>
    </xf>
    <xf numFmtId="166" fontId="7" fillId="0" borderId="0" xfId="0" applyNumberFormat="1" applyFont="1"/>
    <xf numFmtId="49" fontId="9" fillId="0" borderId="0" xfId="0" applyNumberFormat="1" applyFont="1" applyBorder="1" applyAlignment="1">
      <alignment horizontal="centerContinuous"/>
    </xf>
    <xf numFmtId="1" fontId="7" fillId="0" borderId="0" xfId="0" applyNumberFormat="1" applyFont="1"/>
    <xf numFmtId="0" fontId="9" fillId="0" borderId="0" xfId="0" quotePrefix="1" applyFont="1" applyAlignment="1">
      <alignment horizontal="right"/>
    </xf>
    <xf numFmtId="0" fontId="13" fillId="0" borderId="0" xfId="0" applyFont="1" applyAlignment="1">
      <alignment horizontal="center"/>
    </xf>
    <xf numFmtId="0" fontId="15" fillId="0" borderId="0" xfId="0" applyFont="1"/>
    <xf numFmtId="0" fontId="7" fillId="0" borderId="0" xfId="0" applyFont="1" applyAlignment="1">
      <alignment horizontal="center"/>
    </xf>
    <xf numFmtId="2" fontId="7" fillId="0" borderId="0" xfId="0" applyNumberFormat="1" applyFont="1"/>
    <xf numFmtId="164" fontId="19" fillId="0" borderId="0" xfId="1" applyFont="1" applyAlignment="1">
      <alignment horizontal="center"/>
    </xf>
    <xf numFmtId="0" fontId="7" fillId="0" borderId="0" xfId="0" quotePrefix="1" applyFont="1"/>
    <xf numFmtId="1" fontId="7" fillId="0" borderId="0" xfId="1" applyNumberFormat="1" applyFont="1"/>
    <xf numFmtId="1" fontId="7" fillId="0" borderId="0" xfId="1" quotePrefix="1" applyNumberFormat="1" applyFont="1"/>
    <xf numFmtId="49" fontId="7" fillId="0" borderId="0" xfId="0" applyNumberFormat="1" applyFont="1" applyAlignment="1">
      <alignment horizontal="right"/>
    </xf>
    <xf numFmtId="49" fontId="7" fillId="0" borderId="0" xfId="1" applyNumberFormat="1" applyFont="1"/>
    <xf numFmtId="0" fontId="7" fillId="0" borderId="0" xfId="1" applyNumberFormat="1" applyFont="1" applyAlignment="1">
      <alignment horizontal="right"/>
    </xf>
    <xf numFmtId="0" fontId="19" fillId="0" borderId="0" xfId="0" applyFont="1" applyFill="1" applyAlignment="1">
      <alignment horizontal="center"/>
    </xf>
    <xf numFmtId="0" fontId="7" fillId="0" borderId="0" xfId="0" applyFont="1" applyFill="1" applyAlignment="1">
      <alignment horizontal="right"/>
    </xf>
    <xf numFmtId="0" fontId="8" fillId="0" borderId="0" xfId="0" applyFont="1" applyFill="1" applyAlignment="1">
      <alignment horizontal="centerContinuous"/>
    </xf>
    <xf numFmtId="0" fontId="8" fillId="0" borderId="0" xfId="0" applyFont="1" applyFill="1"/>
    <xf numFmtId="0" fontId="9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12" fillId="0" borderId="0" xfId="0" applyFont="1" applyFill="1"/>
    <xf numFmtId="0" fontId="9" fillId="0" borderId="0" xfId="0" applyFont="1" applyFill="1" applyAlignment="1">
      <alignment horizontal="centerContinuous"/>
    </xf>
    <xf numFmtId="0" fontId="13" fillId="0" borderId="0" xfId="0" applyFont="1" applyFill="1"/>
    <xf numFmtId="0" fontId="14" fillId="0" borderId="0" xfId="0" quotePrefix="1" applyFont="1" applyFill="1" applyAlignment="1" applyProtection="1">
      <alignment horizontal="center"/>
      <protection locked="0"/>
    </xf>
    <xf numFmtId="0" fontId="14" fillId="0" borderId="0" xfId="0" applyFont="1" applyFill="1" applyAlignment="1" applyProtection="1">
      <alignment horizontal="center"/>
      <protection locked="0"/>
    </xf>
    <xf numFmtId="0" fontId="9" fillId="0" borderId="0" xfId="0" applyFont="1" applyFill="1"/>
    <xf numFmtId="0" fontId="9" fillId="0" borderId="11" xfId="0" applyFont="1" applyFill="1" applyBorder="1"/>
    <xf numFmtId="0" fontId="9" fillId="0" borderId="9" xfId="0" applyFont="1" applyFill="1" applyBorder="1" applyAlignment="1">
      <alignment horizontal="centerContinuous"/>
    </xf>
    <xf numFmtId="0" fontId="9" fillId="0" borderId="2" xfId="0" applyFont="1" applyFill="1" applyBorder="1" applyAlignment="1">
      <alignment horizontal="centerContinuous"/>
    </xf>
    <xf numFmtId="0" fontId="9" fillId="0" borderId="6" xfId="0" applyFont="1" applyFill="1" applyBorder="1" applyAlignment="1">
      <alignment horizontal="centerContinuous"/>
    </xf>
    <xf numFmtId="0" fontId="9" fillId="0" borderId="1" xfId="0" applyFont="1" applyFill="1" applyBorder="1"/>
    <xf numFmtId="0" fontId="15" fillId="0" borderId="0" xfId="0" applyFont="1" applyFill="1" applyProtection="1">
      <protection locked="0"/>
    </xf>
    <xf numFmtId="0" fontId="9" fillId="0" borderId="0" xfId="0" applyFont="1" applyFill="1" applyProtection="1">
      <protection locked="0"/>
    </xf>
    <xf numFmtId="0" fontId="9" fillId="0" borderId="2" xfId="0" applyFont="1" applyFill="1" applyBorder="1" applyProtection="1">
      <protection locked="0"/>
    </xf>
    <xf numFmtId="0" fontId="9" fillId="0" borderId="1" xfId="0" applyFont="1" applyFill="1" applyBorder="1" applyAlignment="1">
      <alignment horizontal="centerContinuous"/>
    </xf>
    <xf numFmtId="0" fontId="9" fillId="0" borderId="0" xfId="0" applyFont="1" applyFill="1" applyBorder="1" applyAlignment="1">
      <alignment horizontal="centerContinuous"/>
    </xf>
    <xf numFmtId="0" fontId="9" fillId="0" borderId="4" xfId="0" applyFont="1" applyFill="1" applyBorder="1" applyProtection="1">
      <protection locked="0"/>
    </xf>
    <xf numFmtId="49" fontId="9" fillId="0" borderId="9" xfId="0" applyNumberFormat="1" applyFont="1" applyFill="1" applyBorder="1" applyAlignment="1">
      <alignment horizontal="left" indent="1"/>
    </xf>
    <xf numFmtId="1" fontId="9" fillId="0" borderId="0" xfId="0" applyNumberFormat="1" applyFont="1" applyFill="1" applyBorder="1" applyAlignment="1" applyProtection="1">
      <alignment horizontal="center"/>
      <protection locked="0"/>
    </xf>
    <xf numFmtId="1" fontId="9" fillId="0" borderId="13" xfId="0" applyNumberFormat="1" applyFont="1" applyFill="1" applyBorder="1" applyAlignment="1" applyProtection="1">
      <alignment horizontal="center"/>
      <protection locked="0"/>
    </xf>
    <xf numFmtId="1" fontId="9" fillId="0" borderId="4" xfId="0" applyNumberFormat="1" applyFont="1" applyFill="1" applyBorder="1" applyAlignment="1" applyProtection="1">
      <alignment horizontal="center"/>
      <protection locked="0"/>
    </xf>
    <xf numFmtId="1" fontId="15" fillId="0" borderId="0" xfId="0" applyNumberFormat="1" applyFont="1" applyFill="1" applyBorder="1" applyAlignment="1" applyProtection="1">
      <alignment horizontal="centerContinuous"/>
      <protection locked="0"/>
    </xf>
    <xf numFmtId="1" fontId="15" fillId="0" borderId="0" xfId="0" applyNumberFormat="1" applyFont="1" applyFill="1" applyAlignment="1" applyProtection="1">
      <alignment horizontal="centerContinuous"/>
      <protection locked="0"/>
    </xf>
    <xf numFmtId="1" fontId="9" fillId="0" borderId="0" xfId="0" applyNumberFormat="1" applyFont="1" applyFill="1" applyBorder="1" applyProtection="1">
      <protection locked="0"/>
    </xf>
    <xf numFmtId="1" fontId="9" fillId="0" borderId="0" xfId="0" applyNumberFormat="1" applyFont="1" applyFill="1" applyProtection="1">
      <protection locked="0"/>
    </xf>
    <xf numFmtId="1" fontId="9" fillId="0" borderId="0" xfId="0" applyNumberFormat="1" applyFont="1" applyFill="1" applyBorder="1" applyAlignment="1" applyProtection="1">
      <alignment horizontal="centerContinuous"/>
      <protection locked="0"/>
    </xf>
    <xf numFmtId="1" fontId="9" fillId="0" borderId="0" xfId="0" applyNumberFormat="1" applyFont="1" applyFill="1" applyAlignment="1" applyProtection="1">
      <alignment horizontal="centerContinuous"/>
      <protection locked="0"/>
    </xf>
    <xf numFmtId="1" fontId="9" fillId="0" borderId="0" xfId="0" applyNumberFormat="1" applyFont="1" applyFill="1" applyAlignment="1" applyProtection="1">
      <alignment horizontal="left"/>
      <protection locked="0"/>
    </xf>
    <xf numFmtId="1" fontId="9" fillId="0" borderId="0" xfId="0" applyNumberFormat="1" applyFont="1" applyFill="1" applyBorder="1" applyAlignment="1" applyProtection="1">
      <alignment horizontal="left"/>
      <protection locked="0"/>
    </xf>
    <xf numFmtId="1" fontId="9" fillId="0" borderId="4" xfId="0" applyNumberFormat="1" applyFont="1" applyFill="1" applyBorder="1" applyAlignment="1" applyProtection="1">
      <alignment horizontal="centerContinuous"/>
      <protection locked="0"/>
    </xf>
    <xf numFmtId="1" fontId="9" fillId="0" borderId="0" xfId="0" applyNumberFormat="1" applyFont="1" applyFill="1" applyBorder="1" applyAlignment="1">
      <alignment horizontal="centerContinuous"/>
    </xf>
    <xf numFmtId="1" fontId="9" fillId="0" borderId="4" xfId="0" applyNumberFormat="1" applyFont="1" applyFill="1" applyBorder="1" applyAlignment="1">
      <alignment horizontal="centerContinuous"/>
    </xf>
    <xf numFmtId="1" fontId="15" fillId="0" borderId="0" xfId="0" applyNumberFormat="1" applyFont="1" applyFill="1" applyBorder="1" applyProtection="1">
      <protection locked="0"/>
    </xf>
    <xf numFmtId="1" fontId="15" fillId="0" borderId="0" xfId="0" applyNumberFormat="1" applyFont="1" applyFill="1" applyProtection="1">
      <protection locked="0"/>
    </xf>
    <xf numFmtId="1" fontId="9" fillId="0" borderId="4" xfId="0" applyNumberFormat="1" applyFont="1" applyFill="1" applyBorder="1" applyProtection="1">
      <protection locked="0"/>
    </xf>
    <xf numFmtId="49" fontId="9" fillId="0" borderId="1" xfId="0" applyNumberFormat="1" applyFont="1" applyFill="1" applyBorder="1"/>
    <xf numFmtId="0" fontId="9" fillId="0" borderId="10" xfId="0" applyFont="1" applyFill="1" applyBorder="1"/>
    <xf numFmtId="0" fontId="15" fillId="0" borderId="3" xfId="0" applyFont="1" applyFill="1" applyBorder="1"/>
    <xf numFmtId="0" fontId="9" fillId="0" borderId="11" xfId="0" applyFont="1" applyFill="1" applyBorder="1" applyProtection="1">
      <protection locked="0"/>
    </xf>
    <xf numFmtId="0" fontId="9" fillId="0" borderId="3" xfId="0" applyFont="1" applyFill="1" applyBorder="1"/>
    <xf numFmtId="0" fontId="9" fillId="0" borderId="12" xfId="0" applyFont="1" applyFill="1" applyBorder="1"/>
    <xf numFmtId="0" fontId="7" fillId="0" borderId="0" xfId="0" applyFont="1" applyFill="1" applyAlignment="1">
      <alignment horizontal="left"/>
    </xf>
    <xf numFmtId="1" fontId="6" fillId="0" borderId="0" xfId="0" applyNumberFormat="1" applyFont="1" applyFill="1"/>
    <xf numFmtId="0" fontId="7" fillId="0" borderId="0" xfId="0" quotePrefix="1" applyFont="1" applyFill="1" applyBorder="1" applyAlignment="1">
      <alignment horizontal="right"/>
    </xf>
    <xf numFmtId="0" fontId="16" fillId="0" borderId="0" xfId="0" applyFont="1" applyFill="1" applyAlignment="1">
      <alignment horizontal="left"/>
    </xf>
    <xf numFmtId="0" fontId="10" fillId="0" borderId="0" xfId="0" applyFont="1" applyFill="1"/>
    <xf numFmtId="0" fontId="9" fillId="0" borderId="2" xfId="0" applyFont="1" applyFill="1" applyBorder="1"/>
    <xf numFmtId="49" fontId="9" fillId="0" borderId="1" xfId="0" applyNumberFormat="1" applyFont="1" applyFill="1" applyBorder="1" applyAlignment="1">
      <alignment horizontal="centerContinuous"/>
    </xf>
    <xf numFmtId="165" fontId="9" fillId="0" borderId="0" xfId="0" applyNumberFormat="1" applyFont="1" applyFill="1" applyBorder="1" applyAlignment="1" applyProtection="1">
      <alignment horizontal="center"/>
      <protection locked="0"/>
    </xf>
    <xf numFmtId="165" fontId="9" fillId="0" borderId="0" xfId="0" applyNumberFormat="1" applyFont="1" applyFill="1" applyAlignment="1" applyProtection="1">
      <alignment horizontal="center"/>
      <protection locked="0"/>
    </xf>
    <xf numFmtId="165" fontId="9" fillId="0" borderId="2" xfId="0" applyNumberFormat="1" applyFont="1" applyFill="1" applyBorder="1" applyAlignment="1" applyProtection="1">
      <alignment horizontal="center"/>
      <protection locked="0"/>
    </xf>
    <xf numFmtId="1" fontId="9" fillId="0" borderId="0" xfId="0" applyNumberFormat="1" applyFont="1" applyFill="1" applyAlignment="1" applyProtection="1">
      <alignment horizontal="center"/>
      <protection locked="0"/>
    </xf>
    <xf numFmtId="1" fontId="9" fillId="0" borderId="2" xfId="0" applyNumberFormat="1" applyFont="1" applyFill="1" applyBorder="1" applyAlignment="1" applyProtection="1">
      <alignment horizontal="center"/>
      <protection locked="0"/>
    </xf>
    <xf numFmtId="1" fontId="9" fillId="0" borderId="2" xfId="0" applyNumberFormat="1" applyFont="1" applyFill="1" applyBorder="1" applyAlignment="1">
      <alignment horizontal="centerContinuous"/>
    </xf>
    <xf numFmtId="166" fontId="9" fillId="0" borderId="0" xfId="0" applyNumberFormat="1" applyFont="1" applyFill="1" applyBorder="1" applyAlignment="1" applyProtection="1">
      <alignment horizontal="center"/>
      <protection locked="0"/>
    </xf>
    <xf numFmtId="166" fontId="9" fillId="0" borderId="4" xfId="0" applyNumberFormat="1" applyFont="1" applyFill="1" applyBorder="1" applyAlignment="1" applyProtection="1">
      <alignment horizontal="center"/>
      <protection locked="0"/>
    </xf>
    <xf numFmtId="49" fontId="9" fillId="0" borderId="1" xfId="0" applyNumberFormat="1" applyFont="1" applyFill="1" applyBorder="1" applyAlignment="1">
      <alignment horizontal="left"/>
    </xf>
    <xf numFmtId="0" fontId="7" fillId="0" borderId="5" xfId="0" applyFont="1" applyFill="1" applyBorder="1"/>
    <xf numFmtId="0" fontId="6" fillId="0" borderId="3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Protection="1">
      <protection locked="0"/>
    </xf>
    <xf numFmtId="0" fontId="7" fillId="0" borderId="6" xfId="0" applyFont="1" applyFill="1" applyBorder="1" applyProtection="1">
      <protection locked="0"/>
    </xf>
    <xf numFmtId="0" fontId="18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Protection="1">
      <protection locked="0"/>
    </xf>
    <xf numFmtId="166" fontId="7" fillId="0" borderId="0" xfId="0" applyNumberFormat="1" applyFont="1" applyFill="1"/>
    <xf numFmtId="1" fontId="7" fillId="0" borderId="0" xfId="0" applyNumberFormat="1" applyFont="1" applyFill="1"/>
    <xf numFmtId="1" fontId="7" fillId="0" borderId="0" xfId="0" applyNumberFormat="1" applyFont="1" applyFill="1" applyBorder="1"/>
    <xf numFmtId="0" fontId="5" fillId="2" borderId="0" xfId="3" applyFont="1" applyFill="1"/>
    <xf numFmtId="0" fontId="14" fillId="0" borderId="0" xfId="0" applyFont="1"/>
    <xf numFmtId="0" fontId="20" fillId="2" borderId="0" xfId="3" applyFont="1" applyFill="1" applyAlignment="1">
      <alignment horizontal="center"/>
    </xf>
    <xf numFmtId="0" fontId="5" fillId="0" borderId="0" xfId="0" applyFont="1"/>
    <xf numFmtId="0" fontId="5" fillId="0" borderId="0" xfId="0" applyFont="1" applyFill="1"/>
    <xf numFmtId="0" fontId="14" fillId="0" borderId="0" xfId="0" applyFont="1" applyFill="1"/>
    <xf numFmtId="0" fontId="21" fillId="0" borderId="0" xfId="2" applyFont="1" applyAlignment="1" applyProtection="1"/>
    <xf numFmtId="0" fontId="21" fillId="0" borderId="0" xfId="2" applyFont="1" applyFill="1" applyAlignment="1" applyProtection="1"/>
    <xf numFmtId="0" fontId="14" fillId="0" borderId="0" xfId="0" quotePrefix="1" applyFont="1" applyAlignment="1">
      <alignment horizontal="left"/>
    </xf>
    <xf numFmtId="0" fontId="14" fillId="0" borderId="0" xfId="0" applyFont="1" applyAlignment="1">
      <alignment horizontal="left"/>
    </xf>
    <xf numFmtId="1" fontId="7" fillId="3" borderId="0" xfId="0" applyNumberFormat="1" applyFont="1" applyFill="1"/>
    <xf numFmtId="0" fontId="7" fillId="3" borderId="0" xfId="0" applyFont="1" applyFill="1"/>
    <xf numFmtId="0" fontId="14" fillId="0" borderId="0" xfId="0" applyFont="1" applyAlignment="1">
      <alignment wrapText="1"/>
    </xf>
    <xf numFmtId="3" fontId="23" fillId="0" borderId="0" xfId="4" applyNumberFormat="1" applyFont="1"/>
    <xf numFmtId="0" fontId="13" fillId="0" borderId="0" xfId="0" applyFont="1" applyFill="1" applyAlignment="1"/>
    <xf numFmtId="49" fontId="9" fillId="0" borderId="1" xfId="0" applyNumberFormat="1" applyFont="1" applyBorder="1" applyAlignment="1"/>
    <xf numFmtId="0" fontId="9" fillId="0" borderId="1" xfId="0" applyNumberFormat="1" applyFont="1" applyBorder="1" applyAlignment="1">
      <alignment horizontal="centerContinuous"/>
    </xf>
    <xf numFmtId="49" fontId="9" fillId="0" borderId="4" xfId="0" applyNumberFormat="1" applyFont="1" applyBorder="1" applyAlignment="1">
      <alignment horizontal="centerContinuous"/>
    </xf>
    <xf numFmtId="1" fontId="9" fillId="0" borderId="0" xfId="0" applyNumberFormat="1" applyFont="1" applyAlignment="1">
      <alignment horizontal="center"/>
    </xf>
    <xf numFmtId="0" fontId="5" fillId="2" borderId="0" xfId="3" applyFont="1" applyFill="1" applyAlignment="1">
      <alignment horizontal="center" vertical="center"/>
    </xf>
    <xf numFmtId="0" fontId="20" fillId="2" borderId="0" xfId="3" applyFont="1" applyFill="1" applyAlignment="1">
      <alignment horizontal="center"/>
    </xf>
    <xf numFmtId="0" fontId="13" fillId="0" borderId="0" xfId="0" applyFont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8" xfId="0" applyFont="1" applyBorder="1"/>
    <xf numFmtId="0" fontId="9" fillId="0" borderId="15" xfId="0" applyFont="1" applyBorder="1"/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/>
    <xf numFmtId="0" fontId="9" fillId="0" borderId="7" xfId="0" applyFont="1" applyBorder="1" applyAlignment="1">
      <alignment horizontal="center" vertical="center"/>
    </xf>
    <xf numFmtId="0" fontId="9" fillId="0" borderId="9" xfId="0" applyFont="1" applyBorder="1"/>
    <xf numFmtId="0" fontId="9" fillId="0" borderId="19" xfId="0" applyFont="1" applyBorder="1"/>
    <xf numFmtId="0" fontId="9" fillId="0" borderId="21" xfId="0" applyFont="1" applyBorder="1"/>
    <xf numFmtId="0" fontId="9" fillId="0" borderId="2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0" quotePrefix="1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3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0" fontId="9" fillId="0" borderId="2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0" borderId="0" xfId="0" quotePrefix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 applyProtection="1">
      <alignment horizontal="center"/>
      <protection locked="0"/>
    </xf>
    <xf numFmtId="0" fontId="9" fillId="0" borderId="14" xfId="0" applyFont="1" applyFill="1" applyBorder="1" applyAlignment="1">
      <alignment horizontal="center" vertical="center" wrapText="1"/>
    </xf>
    <xf numFmtId="0" fontId="9" fillId="0" borderId="8" xfId="0" applyFont="1" applyFill="1" applyBorder="1"/>
    <xf numFmtId="0" fontId="9" fillId="0" borderId="0" xfId="0" quotePrefix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9" xfId="0" applyFont="1" applyFill="1" applyBorder="1"/>
    <xf numFmtId="0" fontId="9" fillId="0" borderId="19" xfId="0" applyFont="1" applyFill="1" applyBorder="1"/>
    <xf numFmtId="0" fontId="8" fillId="0" borderId="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9" fillId="0" borderId="15" xfId="0" applyFont="1" applyFill="1" applyBorder="1"/>
    <xf numFmtId="0" fontId="9" fillId="0" borderId="20" xfId="0" applyFont="1" applyFill="1" applyBorder="1" applyAlignment="1">
      <alignment horizontal="center" vertical="center" wrapText="1"/>
    </xf>
    <xf numFmtId="0" fontId="13" fillId="0" borderId="0" xfId="0" quotePrefix="1" applyFont="1" applyFill="1" applyAlignment="1">
      <alignment horizontal="center"/>
    </xf>
    <xf numFmtId="0" fontId="9" fillId="0" borderId="7" xfId="0" quotePrefix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</cellXfs>
  <cellStyles count="7">
    <cellStyle name="Comma" xfId="1" builtinId="3"/>
    <cellStyle name="Comma 2" xfId="6" xr:uid="{00000000-0005-0000-0000-000001000000}"/>
    <cellStyle name="Hyperlink" xfId="2" builtinId="8"/>
    <cellStyle name="Normal" xfId="0" builtinId="0"/>
    <cellStyle name="Normal 2" xfId="3" xr:uid="{00000000-0005-0000-0000-000004000000}"/>
    <cellStyle name="Normal 3" xfId="5" xr:uid="{00000000-0005-0000-0000-000005000000}"/>
    <cellStyle name="Normal 4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Durée de production assurée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(données trimestrielles, mensuelles à partir de 2020)</a:t>
            </a:r>
          </a:p>
        </c:rich>
      </c:tx>
      <c:layout>
        <c:manualLayout>
          <c:xMode val="edge"/>
          <c:yMode val="edge"/>
          <c:x val="0.28756144777482923"/>
          <c:y val="1.4252620540426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672224097378888E-2"/>
          <c:y val="9.6446859875442631E-2"/>
          <c:w val="0.91393564551267603"/>
          <c:h val="0.727581574498953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'données J1'!$B$3</c:f>
              <c:strCache>
                <c:ptCount val="1"/>
                <c:pt idx="0">
                  <c:v>Année</c:v>
                </c:pt>
              </c:strCache>
            </c:strRef>
          </c:tx>
          <c:spPr>
            <a:solidFill>
              <a:srgbClr val="9999FF"/>
            </a:solidFill>
            <a:ln w="12700">
              <a:noFill/>
              <a:prstDash val="solid"/>
            </a:ln>
          </c:spPr>
          <c:invertIfNegative val="0"/>
          <c:cat>
            <c:numRef>
              <c:f>'données J1'!$A$72:$A$163</c:f>
              <c:numCache>
                <c:formatCode>General</c:formatCode>
                <c:ptCount val="92"/>
                <c:pt idx="0">
                  <c:v>2015</c:v>
                </c:pt>
                <c:pt idx="4">
                  <c:v>2016</c:v>
                </c:pt>
                <c:pt idx="8">
                  <c:v>2017</c:v>
                </c:pt>
                <c:pt idx="12">
                  <c:v>2018</c:v>
                </c:pt>
                <c:pt idx="16">
                  <c:v>2019</c:v>
                </c:pt>
                <c:pt idx="20">
                  <c:v>2020</c:v>
                </c:pt>
                <c:pt idx="32">
                  <c:v>2021</c:v>
                </c:pt>
                <c:pt idx="44">
                  <c:v>2022</c:v>
                </c:pt>
                <c:pt idx="56">
                  <c:v>2023</c:v>
                </c:pt>
                <c:pt idx="68">
                  <c:v>2024</c:v>
                </c:pt>
                <c:pt idx="80">
                  <c:v>2025</c:v>
                </c:pt>
              </c:numCache>
            </c:numRef>
          </c:cat>
          <c:val>
            <c:numRef>
              <c:f>'données J1'!$B$4:$B$104</c:f>
              <c:numCache>
                <c:formatCode>General</c:formatCode>
                <c:ptCount val="101"/>
              </c:numCache>
            </c:numRef>
          </c:val>
          <c:extLst>
            <c:ext xmlns:c16="http://schemas.microsoft.com/office/drawing/2014/chart" uri="{C3380CC4-5D6E-409C-BE32-E72D297353CC}">
              <c16:uniqueId val="{00000000-1278-4CCD-8C07-F3871DC4F99F}"/>
            </c:ext>
          </c:extLst>
        </c:ser>
        <c:ser>
          <c:idx val="1"/>
          <c:order val="1"/>
          <c:tx>
            <c:strRef>
              <c:f>'données J1'!$C$3</c:f>
              <c:strCache>
                <c:ptCount val="1"/>
                <c:pt idx="0">
                  <c:v>Ensemble de l'industrie</c:v>
                </c:pt>
              </c:strCache>
            </c:strRef>
          </c:tx>
          <c:invertIfNegative val="0"/>
          <c:cat>
            <c:numRef>
              <c:f>'données J1'!$A$72:$A$163</c:f>
              <c:numCache>
                <c:formatCode>General</c:formatCode>
                <c:ptCount val="92"/>
                <c:pt idx="0">
                  <c:v>2015</c:v>
                </c:pt>
                <c:pt idx="4">
                  <c:v>2016</c:v>
                </c:pt>
                <c:pt idx="8">
                  <c:v>2017</c:v>
                </c:pt>
                <c:pt idx="12">
                  <c:v>2018</c:v>
                </c:pt>
                <c:pt idx="16">
                  <c:v>2019</c:v>
                </c:pt>
                <c:pt idx="20">
                  <c:v>2020</c:v>
                </c:pt>
                <c:pt idx="32">
                  <c:v>2021</c:v>
                </c:pt>
                <c:pt idx="44">
                  <c:v>2022</c:v>
                </c:pt>
                <c:pt idx="56">
                  <c:v>2023</c:v>
                </c:pt>
                <c:pt idx="68">
                  <c:v>2024</c:v>
                </c:pt>
                <c:pt idx="80">
                  <c:v>2025</c:v>
                </c:pt>
              </c:numCache>
            </c:numRef>
          </c:cat>
          <c:val>
            <c:numRef>
              <c:f>'données J1'!$C$72:$C$163</c:f>
              <c:numCache>
                <c:formatCode>General</c:formatCode>
                <c:ptCount val="92"/>
                <c:pt idx="0">
                  <c:v>3.3</c:v>
                </c:pt>
                <c:pt idx="1">
                  <c:v>3.6</c:v>
                </c:pt>
                <c:pt idx="2">
                  <c:v>3.7</c:v>
                </c:pt>
                <c:pt idx="3">
                  <c:v>3.7</c:v>
                </c:pt>
                <c:pt idx="4">
                  <c:v>3.7</c:v>
                </c:pt>
                <c:pt idx="5">
                  <c:v>3.6</c:v>
                </c:pt>
                <c:pt idx="6">
                  <c:v>3.7</c:v>
                </c:pt>
                <c:pt idx="7">
                  <c:v>3.8</c:v>
                </c:pt>
                <c:pt idx="8">
                  <c:v>3.6</c:v>
                </c:pt>
                <c:pt idx="9">
                  <c:v>3.7</c:v>
                </c:pt>
                <c:pt idx="10">
                  <c:v>4.0999999999999996</c:v>
                </c:pt>
                <c:pt idx="11" formatCode="0.0">
                  <c:v>4</c:v>
                </c:pt>
                <c:pt idx="12">
                  <c:v>4.0999999999999996</c:v>
                </c:pt>
                <c:pt idx="13">
                  <c:v>4.2</c:v>
                </c:pt>
                <c:pt idx="14">
                  <c:v>4</c:v>
                </c:pt>
                <c:pt idx="15">
                  <c:v>4.3</c:v>
                </c:pt>
                <c:pt idx="16">
                  <c:v>4.2</c:v>
                </c:pt>
                <c:pt idx="17">
                  <c:v>4.0999999999999996</c:v>
                </c:pt>
                <c:pt idx="18">
                  <c:v>4.2</c:v>
                </c:pt>
                <c:pt idx="19">
                  <c:v>4.2</c:v>
                </c:pt>
                <c:pt idx="20">
                  <c:v>4.2</c:v>
                </c:pt>
                <c:pt idx="21">
                  <c:v>4.5</c:v>
                </c:pt>
                <c:pt idx="22">
                  <c:v>4.5</c:v>
                </c:pt>
                <c:pt idx="23">
                  <c:v>4.2</c:v>
                </c:pt>
                <c:pt idx="24">
                  <c:v>5.3</c:v>
                </c:pt>
                <c:pt idx="25">
                  <c:v>4.7</c:v>
                </c:pt>
                <c:pt idx="26">
                  <c:v>5</c:v>
                </c:pt>
                <c:pt idx="27">
                  <c:v>5.5</c:v>
                </c:pt>
                <c:pt idx="28">
                  <c:v>5.3</c:v>
                </c:pt>
                <c:pt idx="29">
                  <c:v>5.3</c:v>
                </c:pt>
                <c:pt idx="30">
                  <c:v>4.5999999999999996</c:v>
                </c:pt>
                <c:pt idx="31">
                  <c:v>4.4000000000000004</c:v>
                </c:pt>
                <c:pt idx="32">
                  <c:v>5.5</c:v>
                </c:pt>
                <c:pt idx="33">
                  <c:v>4.7</c:v>
                </c:pt>
                <c:pt idx="34">
                  <c:v>4.7</c:v>
                </c:pt>
                <c:pt idx="35">
                  <c:v>4.8</c:v>
                </c:pt>
                <c:pt idx="36">
                  <c:v>4.8</c:v>
                </c:pt>
                <c:pt idx="37">
                  <c:v>4.7</c:v>
                </c:pt>
                <c:pt idx="38">
                  <c:v>4.5</c:v>
                </c:pt>
                <c:pt idx="39">
                  <c:v>5</c:v>
                </c:pt>
                <c:pt idx="40">
                  <c:v>4.9000000000000004</c:v>
                </c:pt>
                <c:pt idx="41">
                  <c:v>4.5</c:v>
                </c:pt>
                <c:pt idx="42">
                  <c:v>6.6</c:v>
                </c:pt>
                <c:pt idx="43">
                  <c:v>6.1</c:v>
                </c:pt>
                <c:pt idx="44">
                  <c:v>4.8</c:v>
                </c:pt>
                <c:pt idx="45">
                  <c:v>5</c:v>
                </c:pt>
                <c:pt idx="46">
                  <c:v>4.9000000000000004</c:v>
                </c:pt>
                <c:pt idx="47">
                  <c:v>4.9000000000000004</c:v>
                </c:pt>
                <c:pt idx="48">
                  <c:v>6.6</c:v>
                </c:pt>
                <c:pt idx="49">
                  <c:v>4.9000000000000004</c:v>
                </c:pt>
                <c:pt idx="50">
                  <c:v>4.8</c:v>
                </c:pt>
                <c:pt idx="51">
                  <c:v>4.5999999999999996</c:v>
                </c:pt>
                <c:pt idx="52">
                  <c:v>4.9000000000000004</c:v>
                </c:pt>
                <c:pt idx="53">
                  <c:v>4.5999999999999996</c:v>
                </c:pt>
                <c:pt idx="54">
                  <c:v>4.5999999999999996</c:v>
                </c:pt>
                <c:pt idx="55">
                  <c:v>4.9000000000000004</c:v>
                </c:pt>
                <c:pt idx="56">
                  <c:v>5</c:v>
                </c:pt>
                <c:pt idx="57">
                  <c:v>4.8</c:v>
                </c:pt>
                <c:pt idx="58">
                  <c:v>5</c:v>
                </c:pt>
                <c:pt idx="59">
                  <c:v>4.7</c:v>
                </c:pt>
                <c:pt idx="60">
                  <c:v>4.9000000000000004</c:v>
                </c:pt>
                <c:pt idx="61">
                  <c:v>5.0999999999999996</c:v>
                </c:pt>
                <c:pt idx="62">
                  <c:v>5.0999999999999996</c:v>
                </c:pt>
                <c:pt idx="63">
                  <c:v>4.7</c:v>
                </c:pt>
                <c:pt idx="64">
                  <c:v>5.3</c:v>
                </c:pt>
                <c:pt idx="65">
                  <c:v>5.5</c:v>
                </c:pt>
                <c:pt idx="66">
                  <c:v>4.5999999999999996</c:v>
                </c:pt>
                <c:pt idx="67">
                  <c:v>4.8</c:v>
                </c:pt>
                <c:pt idx="68">
                  <c:v>5.0999999999999996</c:v>
                </c:pt>
                <c:pt idx="69">
                  <c:v>5</c:v>
                </c:pt>
                <c:pt idx="70">
                  <c:v>5</c:v>
                </c:pt>
                <c:pt idx="71">
                  <c:v>4.9000000000000004</c:v>
                </c:pt>
                <c:pt idx="72">
                  <c:v>5.2</c:v>
                </c:pt>
                <c:pt idx="73">
                  <c:v>4.8</c:v>
                </c:pt>
                <c:pt idx="74">
                  <c:v>4.8</c:v>
                </c:pt>
                <c:pt idx="75">
                  <c:v>4.7</c:v>
                </c:pt>
                <c:pt idx="76">
                  <c:v>4.5999999999999996</c:v>
                </c:pt>
                <c:pt idx="77">
                  <c:v>4.8</c:v>
                </c:pt>
                <c:pt idx="78">
                  <c:v>4.7</c:v>
                </c:pt>
                <c:pt idx="79">
                  <c:v>5.0999999999999996</c:v>
                </c:pt>
                <c:pt idx="80">
                  <c:v>4.7</c:v>
                </c:pt>
                <c:pt idx="81">
                  <c:v>4.9000000000000004</c:v>
                </c:pt>
                <c:pt idx="82">
                  <c:v>4.8</c:v>
                </c:pt>
                <c:pt idx="83">
                  <c:v>5</c:v>
                </c:pt>
                <c:pt idx="84">
                  <c:v>5</c:v>
                </c:pt>
                <c:pt idx="85">
                  <c:v>5.2</c:v>
                </c:pt>
                <c:pt idx="86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26-4ED6-A91B-13F6BDB15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"/>
        <c:axId val="59597568"/>
        <c:axId val="69200896"/>
      </c:barChart>
      <c:catAx>
        <c:axId val="59597568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20089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69200896"/>
        <c:scaling>
          <c:orientation val="minMax"/>
          <c:max val="6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597568"/>
        <c:crosses val="autoZero"/>
        <c:crossBetween val="midCat"/>
        <c:majorUnit val="1"/>
        <c:minorUnit val="1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9567004753007237"/>
          <c:y val="0.87535420469333558"/>
          <c:w val="0.16851218636957965"/>
          <c:h val="7.598509307558287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Tendances récentes de la production</a:t>
            </a:r>
          </a:p>
        </c:rich>
      </c:tx>
      <c:layout>
        <c:manualLayout>
          <c:xMode val="edge"/>
          <c:yMode val="edge"/>
          <c:x val="0.30398914028456209"/>
          <c:y val="8.898305084745762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814145478511223E-2"/>
          <c:y val="0.27493208817896175"/>
          <c:w val="0.9298493177826509"/>
          <c:h val="0.55508531999524136"/>
        </c:manualLayout>
      </c:layout>
      <c:lineChart>
        <c:grouping val="standard"/>
        <c:varyColors val="0"/>
        <c:ser>
          <c:idx val="0"/>
          <c:order val="0"/>
          <c:tx>
            <c:strRef>
              <c:f>'données J1'!$G$3</c:f>
              <c:strCache>
                <c:ptCount val="1"/>
                <c:pt idx="0">
                  <c:v>Année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'données J1'!$G$30:$G$341</c:f>
              <c:numCache>
                <c:formatCode>0</c:formatCode>
                <c:ptCount val="312"/>
                <c:pt idx="0">
                  <c:v>2000</c:v>
                </c:pt>
                <c:pt idx="12">
                  <c:v>2001</c:v>
                </c:pt>
                <c:pt idx="24">
                  <c:v>2002</c:v>
                </c:pt>
                <c:pt idx="36">
                  <c:v>2003</c:v>
                </c:pt>
                <c:pt idx="48">
                  <c:v>2004</c:v>
                </c:pt>
                <c:pt idx="60">
                  <c:v>2005</c:v>
                </c:pt>
                <c:pt idx="72">
                  <c:v>2006</c:v>
                </c:pt>
                <c:pt idx="84">
                  <c:v>2007</c:v>
                </c:pt>
                <c:pt idx="96">
                  <c:v>2008</c:v>
                </c:pt>
                <c:pt idx="108">
                  <c:v>2009</c:v>
                </c:pt>
                <c:pt idx="120">
                  <c:v>2010</c:v>
                </c:pt>
                <c:pt idx="132">
                  <c:v>2011</c:v>
                </c:pt>
                <c:pt idx="144">
                  <c:v>2012</c:v>
                </c:pt>
                <c:pt idx="156">
                  <c:v>2013</c:v>
                </c:pt>
                <c:pt idx="168">
                  <c:v>2014</c:v>
                </c:pt>
                <c:pt idx="180">
                  <c:v>2015</c:v>
                </c:pt>
                <c:pt idx="192">
                  <c:v>2016</c:v>
                </c:pt>
                <c:pt idx="204">
                  <c:v>2017</c:v>
                </c:pt>
                <c:pt idx="216">
                  <c:v>2018</c:v>
                </c:pt>
                <c:pt idx="228">
                  <c:v>2019</c:v>
                </c:pt>
                <c:pt idx="240" formatCode="General">
                  <c:v>2020</c:v>
                </c:pt>
                <c:pt idx="252" formatCode="General">
                  <c:v>2021</c:v>
                </c:pt>
                <c:pt idx="264" formatCode="General">
                  <c:v>2022</c:v>
                </c:pt>
                <c:pt idx="276" formatCode="General">
                  <c:v>2023</c:v>
                </c:pt>
                <c:pt idx="288" formatCode="General">
                  <c:v>2024</c:v>
                </c:pt>
                <c:pt idx="300" formatCode="General">
                  <c:v>2025</c:v>
                </c:pt>
              </c:numCache>
            </c:numRef>
          </c:cat>
          <c:val>
            <c:numRef>
              <c:f>'données J1'!$G$30:$G$281</c:f>
              <c:numCache>
                <c:formatCode>0</c:formatCode>
                <c:ptCount val="252"/>
                <c:pt idx="0">
                  <c:v>2000</c:v>
                </c:pt>
                <c:pt idx="12">
                  <c:v>2001</c:v>
                </c:pt>
                <c:pt idx="24">
                  <c:v>2002</c:v>
                </c:pt>
                <c:pt idx="36">
                  <c:v>2003</c:v>
                </c:pt>
                <c:pt idx="48">
                  <c:v>2004</c:v>
                </c:pt>
                <c:pt idx="60">
                  <c:v>2005</c:v>
                </c:pt>
                <c:pt idx="72">
                  <c:v>2006</c:v>
                </c:pt>
                <c:pt idx="84">
                  <c:v>2007</c:v>
                </c:pt>
                <c:pt idx="96">
                  <c:v>2008</c:v>
                </c:pt>
                <c:pt idx="108">
                  <c:v>2009</c:v>
                </c:pt>
                <c:pt idx="120">
                  <c:v>2010</c:v>
                </c:pt>
                <c:pt idx="132">
                  <c:v>2011</c:v>
                </c:pt>
                <c:pt idx="144">
                  <c:v>2012</c:v>
                </c:pt>
                <c:pt idx="156">
                  <c:v>2013</c:v>
                </c:pt>
                <c:pt idx="168">
                  <c:v>2014</c:v>
                </c:pt>
                <c:pt idx="180">
                  <c:v>2015</c:v>
                </c:pt>
                <c:pt idx="192">
                  <c:v>2016</c:v>
                </c:pt>
                <c:pt idx="204">
                  <c:v>2017</c:v>
                </c:pt>
                <c:pt idx="216">
                  <c:v>2018</c:v>
                </c:pt>
                <c:pt idx="228">
                  <c:v>2019</c:v>
                </c:pt>
                <c:pt idx="240" formatCode="General">
                  <c:v>2020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EFE-4A1F-8312-BBF0E1137997}"/>
            </c:ext>
          </c:extLst>
        </c:ser>
        <c:ser>
          <c:idx val="1"/>
          <c:order val="1"/>
          <c:tx>
            <c:strRef>
              <c:f>'données J1'!$I$3</c:f>
              <c:strCache>
                <c:ptCount val="1"/>
                <c:pt idx="0">
                  <c:v>Ensemble de l'industrie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224"/>
            <c:bubble3D val="0"/>
            <c:extLst>
              <c:ext xmlns:c16="http://schemas.microsoft.com/office/drawing/2014/chart" uri="{C3380CC4-5D6E-409C-BE32-E72D297353CC}">
                <c16:uniqueId val="{00000003-2A36-4E44-AE57-59F662427DD1}"/>
              </c:ext>
            </c:extLst>
          </c:dPt>
          <c:dPt>
            <c:idx val="233"/>
            <c:bubble3D val="0"/>
            <c:extLst>
              <c:ext xmlns:c16="http://schemas.microsoft.com/office/drawing/2014/chart" uri="{C3380CC4-5D6E-409C-BE32-E72D297353CC}">
                <c16:uniqueId val="{00000002-2A36-4E44-AE57-59F662427DD1}"/>
              </c:ext>
            </c:extLst>
          </c:dPt>
          <c:cat>
            <c:numRef>
              <c:f>'données J1'!$G$30:$G$341</c:f>
              <c:numCache>
                <c:formatCode>0</c:formatCode>
                <c:ptCount val="312"/>
                <c:pt idx="0">
                  <c:v>2000</c:v>
                </c:pt>
                <c:pt idx="12">
                  <c:v>2001</c:v>
                </c:pt>
                <c:pt idx="24">
                  <c:v>2002</c:v>
                </c:pt>
                <c:pt idx="36">
                  <c:v>2003</c:v>
                </c:pt>
                <c:pt idx="48">
                  <c:v>2004</c:v>
                </c:pt>
                <c:pt idx="60">
                  <c:v>2005</c:v>
                </c:pt>
                <c:pt idx="72">
                  <c:v>2006</c:v>
                </c:pt>
                <c:pt idx="84">
                  <c:v>2007</c:v>
                </c:pt>
                <c:pt idx="96">
                  <c:v>2008</c:v>
                </c:pt>
                <c:pt idx="108">
                  <c:v>2009</c:v>
                </c:pt>
                <c:pt idx="120">
                  <c:v>2010</c:v>
                </c:pt>
                <c:pt idx="132">
                  <c:v>2011</c:v>
                </c:pt>
                <c:pt idx="144">
                  <c:v>2012</c:v>
                </c:pt>
                <c:pt idx="156">
                  <c:v>2013</c:v>
                </c:pt>
                <c:pt idx="168">
                  <c:v>2014</c:v>
                </c:pt>
                <c:pt idx="180">
                  <c:v>2015</c:v>
                </c:pt>
                <c:pt idx="192">
                  <c:v>2016</c:v>
                </c:pt>
                <c:pt idx="204">
                  <c:v>2017</c:v>
                </c:pt>
                <c:pt idx="216">
                  <c:v>2018</c:v>
                </c:pt>
                <c:pt idx="228">
                  <c:v>2019</c:v>
                </c:pt>
                <c:pt idx="240" formatCode="General">
                  <c:v>2020</c:v>
                </c:pt>
                <c:pt idx="252" formatCode="General">
                  <c:v>2021</c:v>
                </c:pt>
                <c:pt idx="264" formatCode="General">
                  <c:v>2022</c:v>
                </c:pt>
                <c:pt idx="276" formatCode="General">
                  <c:v>2023</c:v>
                </c:pt>
                <c:pt idx="288" formatCode="General">
                  <c:v>2024</c:v>
                </c:pt>
                <c:pt idx="300" formatCode="General">
                  <c:v>2025</c:v>
                </c:pt>
              </c:numCache>
            </c:numRef>
          </c:cat>
          <c:val>
            <c:numRef>
              <c:f>'données J1'!$I$30:$I$341</c:f>
              <c:numCache>
                <c:formatCode>0.00</c:formatCode>
                <c:ptCount val="312"/>
                <c:pt idx="0">
                  <c:v>0.83333333333333337</c:v>
                </c:pt>
                <c:pt idx="1">
                  <c:v>2.0833333333333335</c:v>
                </c:pt>
                <c:pt idx="2">
                  <c:v>4.333333333333333</c:v>
                </c:pt>
                <c:pt idx="3">
                  <c:v>5.666666666666667</c:v>
                </c:pt>
                <c:pt idx="4">
                  <c:v>7.25</c:v>
                </c:pt>
                <c:pt idx="5">
                  <c:v>8</c:v>
                </c:pt>
                <c:pt idx="6">
                  <c:v>8.6666666666666661</c:v>
                </c:pt>
                <c:pt idx="7">
                  <c:v>9.6666666666666661</c:v>
                </c:pt>
                <c:pt idx="8">
                  <c:v>10.166666666666666</c:v>
                </c:pt>
                <c:pt idx="9">
                  <c:v>9.8333333333333339</c:v>
                </c:pt>
                <c:pt idx="10">
                  <c:v>9.6666666666666661</c:v>
                </c:pt>
                <c:pt idx="11">
                  <c:v>9.3333333333333339</c:v>
                </c:pt>
                <c:pt idx="12">
                  <c:v>8.6666666666666661</c:v>
                </c:pt>
                <c:pt idx="13">
                  <c:v>8.25</c:v>
                </c:pt>
                <c:pt idx="14">
                  <c:v>5.583333333333333</c:v>
                </c:pt>
                <c:pt idx="15">
                  <c:v>2.0833333333333335</c:v>
                </c:pt>
                <c:pt idx="16">
                  <c:v>-0.83333333333333337</c:v>
                </c:pt>
                <c:pt idx="17">
                  <c:v>-3.8333333333333335</c:v>
                </c:pt>
                <c:pt idx="18">
                  <c:v>-7.416666666666667</c:v>
                </c:pt>
                <c:pt idx="19">
                  <c:v>-10.5</c:v>
                </c:pt>
                <c:pt idx="20">
                  <c:v>-13.333333333333334</c:v>
                </c:pt>
                <c:pt idx="21">
                  <c:v>-15.333333333333334</c:v>
                </c:pt>
                <c:pt idx="22">
                  <c:v>-19.583333333333332</c:v>
                </c:pt>
                <c:pt idx="23">
                  <c:v>-23.833333333333332</c:v>
                </c:pt>
                <c:pt idx="24">
                  <c:v>-27.083333333333332</c:v>
                </c:pt>
                <c:pt idx="25">
                  <c:v>-30.5</c:v>
                </c:pt>
                <c:pt idx="26">
                  <c:v>-32.166666666666664</c:v>
                </c:pt>
                <c:pt idx="27">
                  <c:v>-31.75</c:v>
                </c:pt>
                <c:pt idx="28">
                  <c:v>-32.333333333333336</c:v>
                </c:pt>
                <c:pt idx="29">
                  <c:v>-32</c:v>
                </c:pt>
                <c:pt idx="30">
                  <c:v>-29.083333333333332</c:v>
                </c:pt>
                <c:pt idx="31">
                  <c:v>-27.75</c:v>
                </c:pt>
                <c:pt idx="32">
                  <c:v>-26.5</c:v>
                </c:pt>
                <c:pt idx="33">
                  <c:v>-24.75</c:v>
                </c:pt>
                <c:pt idx="34">
                  <c:v>-20.583333333333332</c:v>
                </c:pt>
                <c:pt idx="35">
                  <c:v>-18.166666666666668</c:v>
                </c:pt>
                <c:pt idx="36">
                  <c:v>-16.5</c:v>
                </c:pt>
                <c:pt idx="37">
                  <c:v>-13.833333333333334</c:v>
                </c:pt>
                <c:pt idx="38">
                  <c:v>-10.25</c:v>
                </c:pt>
                <c:pt idx="39">
                  <c:v>-7.416666666666667</c:v>
                </c:pt>
                <c:pt idx="40">
                  <c:v>-4.666666666666667</c:v>
                </c:pt>
                <c:pt idx="41">
                  <c:v>-5</c:v>
                </c:pt>
                <c:pt idx="42">
                  <c:v>-5.5</c:v>
                </c:pt>
                <c:pt idx="43">
                  <c:v>-4.833333333333333</c:v>
                </c:pt>
                <c:pt idx="44">
                  <c:v>-4.333333333333333</c:v>
                </c:pt>
                <c:pt idx="45">
                  <c:v>-3.4166666666666665</c:v>
                </c:pt>
                <c:pt idx="46">
                  <c:v>-2.5</c:v>
                </c:pt>
                <c:pt idx="47">
                  <c:v>-0.41666666666666669</c:v>
                </c:pt>
                <c:pt idx="48">
                  <c:v>1.5</c:v>
                </c:pt>
                <c:pt idx="49">
                  <c:v>2.1666666666666665</c:v>
                </c:pt>
                <c:pt idx="50">
                  <c:v>3.9166666666666665</c:v>
                </c:pt>
                <c:pt idx="51">
                  <c:v>4.666666666666667</c:v>
                </c:pt>
                <c:pt idx="52">
                  <c:v>6.666666666666667</c:v>
                </c:pt>
                <c:pt idx="53">
                  <c:v>10.916666666666666</c:v>
                </c:pt>
                <c:pt idx="54">
                  <c:v>13.416666666666666</c:v>
                </c:pt>
                <c:pt idx="55">
                  <c:v>15.583333333333334</c:v>
                </c:pt>
                <c:pt idx="56">
                  <c:v>17.083333333333332</c:v>
                </c:pt>
                <c:pt idx="57">
                  <c:v>17.166666666666668</c:v>
                </c:pt>
                <c:pt idx="58">
                  <c:v>16.833333333333332</c:v>
                </c:pt>
                <c:pt idx="59">
                  <c:v>16.083333333333332</c:v>
                </c:pt>
                <c:pt idx="60">
                  <c:v>14.916666666666666</c:v>
                </c:pt>
                <c:pt idx="61">
                  <c:v>14.5</c:v>
                </c:pt>
                <c:pt idx="62">
                  <c:v>10.5</c:v>
                </c:pt>
                <c:pt idx="63">
                  <c:v>7.833333333333333</c:v>
                </c:pt>
                <c:pt idx="64">
                  <c:v>3.0833333333333335</c:v>
                </c:pt>
                <c:pt idx="65">
                  <c:v>0.91666666666666663</c:v>
                </c:pt>
                <c:pt idx="66">
                  <c:v>-1.1666666666666667</c:v>
                </c:pt>
                <c:pt idx="67">
                  <c:v>-2.8333333333333335</c:v>
                </c:pt>
                <c:pt idx="68">
                  <c:v>-3.5</c:v>
                </c:pt>
                <c:pt idx="69">
                  <c:v>-4.083333333333333</c:v>
                </c:pt>
                <c:pt idx="70">
                  <c:v>-4.5</c:v>
                </c:pt>
                <c:pt idx="71">
                  <c:v>-4.333333333333333</c:v>
                </c:pt>
                <c:pt idx="72">
                  <c:v>-4.666666666666667</c:v>
                </c:pt>
                <c:pt idx="73">
                  <c:v>-5</c:v>
                </c:pt>
                <c:pt idx="74">
                  <c:v>-3.3333333333333335</c:v>
                </c:pt>
                <c:pt idx="75">
                  <c:v>-1.5</c:v>
                </c:pt>
                <c:pt idx="76">
                  <c:v>1</c:v>
                </c:pt>
                <c:pt idx="77">
                  <c:v>1.75</c:v>
                </c:pt>
                <c:pt idx="78">
                  <c:v>2.25</c:v>
                </c:pt>
                <c:pt idx="79">
                  <c:v>1.5833333333333333</c:v>
                </c:pt>
                <c:pt idx="80">
                  <c:v>1.3333333333333333</c:v>
                </c:pt>
                <c:pt idx="81">
                  <c:v>1.6666666666666667</c:v>
                </c:pt>
                <c:pt idx="82">
                  <c:v>2.3333333333333335</c:v>
                </c:pt>
                <c:pt idx="83">
                  <c:v>3.25</c:v>
                </c:pt>
                <c:pt idx="84">
                  <c:v>4.333333333333333</c:v>
                </c:pt>
                <c:pt idx="85">
                  <c:v>7.416666666666667</c:v>
                </c:pt>
                <c:pt idx="86">
                  <c:v>8.9166666666666661</c:v>
                </c:pt>
                <c:pt idx="87">
                  <c:v>8.9166666666666661</c:v>
                </c:pt>
                <c:pt idx="88">
                  <c:v>9.8333333333333339</c:v>
                </c:pt>
                <c:pt idx="89">
                  <c:v>10.583333333333334</c:v>
                </c:pt>
                <c:pt idx="90">
                  <c:v>10.833333333333334</c:v>
                </c:pt>
                <c:pt idx="91">
                  <c:v>11.583333333333334</c:v>
                </c:pt>
                <c:pt idx="92">
                  <c:v>11</c:v>
                </c:pt>
                <c:pt idx="93">
                  <c:v>11</c:v>
                </c:pt>
                <c:pt idx="94">
                  <c:v>10.666666666666666</c:v>
                </c:pt>
                <c:pt idx="95">
                  <c:v>10.083333333333334</c:v>
                </c:pt>
                <c:pt idx="96">
                  <c:v>9.4166666666666661</c:v>
                </c:pt>
                <c:pt idx="97">
                  <c:v>7.083333333333333</c:v>
                </c:pt>
                <c:pt idx="98">
                  <c:v>7</c:v>
                </c:pt>
                <c:pt idx="99">
                  <c:v>7.75</c:v>
                </c:pt>
                <c:pt idx="100">
                  <c:v>8.0833333333333339</c:v>
                </c:pt>
                <c:pt idx="101">
                  <c:v>7.083333333333333</c:v>
                </c:pt>
                <c:pt idx="102">
                  <c:v>5.916666666666667</c:v>
                </c:pt>
                <c:pt idx="103">
                  <c:v>5.166666666666667</c:v>
                </c:pt>
                <c:pt idx="104">
                  <c:v>4.583333333333333</c:v>
                </c:pt>
                <c:pt idx="105">
                  <c:v>1.5</c:v>
                </c:pt>
                <c:pt idx="106">
                  <c:v>-3.25</c:v>
                </c:pt>
                <c:pt idx="107">
                  <c:v>-9.1666666666666661</c:v>
                </c:pt>
                <c:pt idx="108">
                  <c:v>-14.5</c:v>
                </c:pt>
                <c:pt idx="109">
                  <c:v>-19.25</c:v>
                </c:pt>
                <c:pt idx="110">
                  <c:v>-25.083333333333332</c:v>
                </c:pt>
                <c:pt idx="111">
                  <c:v>-30.916666666666668</c:v>
                </c:pt>
                <c:pt idx="112">
                  <c:v>-35.916666666666664</c:v>
                </c:pt>
                <c:pt idx="113">
                  <c:v>-38.166666666666664</c:v>
                </c:pt>
                <c:pt idx="114">
                  <c:v>-39.333333333333336</c:v>
                </c:pt>
                <c:pt idx="115">
                  <c:v>-39.916666666666664</c:v>
                </c:pt>
                <c:pt idx="116">
                  <c:v>-39.5</c:v>
                </c:pt>
                <c:pt idx="117">
                  <c:v>-34.833333333333336</c:v>
                </c:pt>
                <c:pt idx="118">
                  <c:v>-30.416666666666668</c:v>
                </c:pt>
                <c:pt idx="119">
                  <c:v>-25.5</c:v>
                </c:pt>
                <c:pt idx="120">
                  <c:v>-17.666666666666668</c:v>
                </c:pt>
                <c:pt idx="121">
                  <c:v>-12.333333333333334</c:v>
                </c:pt>
                <c:pt idx="122">
                  <c:v>-5.25</c:v>
                </c:pt>
                <c:pt idx="123">
                  <c:v>2.5</c:v>
                </c:pt>
                <c:pt idx="124">
                  <c:v>8.4166666666666661</c:v>
                </c:pt>
                <c:pt idx="125">
                  <c:v>10.083333333333334</c:v>
                </c:pt>
                <c:pt idx="126">
                  <c:v>15.166666666666666</c:v>
                </c:pt>
                <c:pt idx="127">
                  <c:v>19.833333333333332</c:v>
                </c:pt>
                <c:pt idx="128">
                  <c:v>23.083333333333332</c:v>
                </c:pt>
                <c:pt idx="129">
                  <c:v>19.25</c:v>
                </c:pt>
                <c:pt idx="130">
                  <c:v>18</c:v>
                </c:pt>
                <c:pt idx="131">
                  <c:v>19.333333333333332</c:v>
                </c:pt>
                <c:pt idx="132">
                  <c:v>15.666666666666666</c:v>
                </c:pt>
                <c:pt idx="133">
                  <c:v>17.833333333333332</c:v>
                </c:pt>
                <c:pt idx="134">
                  <c:v>18.75</c:v>
                </c:pt>
                <c:pt idx="135">
                  <c:v>16.75</c:v>
                </c:pt>
                <c:pt idx="136">
                  <c:v>17.416666666666668</c:v>
                </c:pt>
                <c:pt idx="137">
                  <c:v>18.75</c:v>
                </c:pt>
                <c:pt idx="138">
                  <c:v>15.583333333333334</c:v>
                </c:pt>
                <c:pt idx="139">
                  <c:v>12.75</c:v>
                </c:pt>
                <c:pt idx="140">
                  <c:v>9.6666666666666661</c:v>
                </c:pt>
                <c:pt idx="141">
                  <c:v>12.25</c:v>
                </c:pt>
                <c:pt idx="142">
                  <c:v>12.166666666666666</c:v>
                </c:pt>
                <c:pt idx="143">
                  <c:v>8</c:v>
                </c:pt>
                <c:pt idx="144">
                  <c:v>6.5</c:v>
                </c:pt>
                <c:pt idx="145">
                  <c:v>4.333333333333333</c:v>
                </c:pt>
                <c:pt idx="146">
                  <c:v>-8.3333333333333329E-2</c:v>
                </c:pt>
                <c:pt idx="147">
                  <c:v>-2.25</c:v>
                </c:pt>
                <c:pt idx="148">
                  <c:v>-8.1666666666666661</c:v>
                </c:pt>
                <c:pt idx="149">
                  <c:v>-9.9166666666666661</c:v>
                </c:pt>
                <c:pt idx="150">
                  <c:v>-10.833333333333334</c:v>
                </c:pt>
                <c:pt idx="151">
                  <c:v>-12.833333333333334</c:v>
                </c:pt>
                <c:pt idx="152">
                  <c:v>-14.25</c:v>
                </c:pt>
                <c:pt idx="153">
                  <c:v>-17</c:v>
                </c:pt>
                <c:pt idx="154">
                  <c:v>-17.583333333333332</c:v>
                </c:pt>
                <c:pt idx="155">
                  <c:v>-15.833333333333334</c:v>
                </c:pt>
                <c:pt idx="156">
                  <c:v>-15.25</c:v>
                </c:pt>
                <c:pt idx="157">
                  <c:v>-19.083333333333332</c:v>
                </c:pt>
                <c:pt idx="158">
                  <c:v>-19.166666666666668</c:v>
                </c:pt>
                <c:pt idx="159">
                  <c:v>-18.5</c:v>
                </c:pt>
                <c:pt idx="160">
                  <c:v>-16.583333333333332</c:v>
                </c:pt>
                <c:pt idx="161">
                  <c:v>-16.416666666666668</c:v>
                </c:pt>
                <c:pt idx="162">
                  <c:v>-15.833333333333334</c:v>
                </c:pt>
                <c:pt idx="163">
                  <c:v>-15.166666666666666</c:v>
                </c:pt>
                <c:pt idx="164">
                  <c:v>-13.583333333333334</c:v>
                </c:pt>
                <c:pt idx="165">
                  <c:v>-12.416666666666666</c:v>
                </c:pt>
                <c:pt idx="166">
                  <c:v>-11.5</c:v>
                </c:pt>
                <c:pt idx="167">
                  <c:v>-11</c:v>
                </c:pt>
                <c:pt idx="168">
                  <c:v>-9.9166666666666661</c:v>
                </c:pt>
                <c:pt idx="169">
                  <c:v>-6.833333333333333</c:v>
                </c:pt>
                <c:pt idx="170">
                  <c:v>-5.916666666666667</c:v>
                </c:pt>
                <c:pt idx="171">
                  <c:v>-5.583333333333333</c:v>
                </c:pt>
                <c:pt idx="172">
                  <c:v>-3.1666666666666665</c:v>
                </c:pt>
                <c:pt idx="173">
                  <c:v>-1.3333333333333333</c:v>
                </c:pt>
                <c:pt idx="174">
                  <c:v>0</c:v>
                </c:pt>
                <c:pt idx="175">
                  <c:v>0.91666666666666663</c:v>
                </c:pt>
                <c:pt idx="176">
                  <c:v>1.5833333333333333</c:v>
                </c:pt>
                <c:pt idx="177">
                  <c:v>3.5833333333333335</c:v>
                </c:pt>
                <c:pt idx="178">
                  <c:v>5.583333333333333</c:v>
                </c:pt>
                <c:pt idx="179">
                  <c:v>7.666666666666667</c:v>
                </c:pt>
                <c:pt idx="180">
                  <c:v>9.6666666666666661</c:v>
                </c:pt>
                <c:pt idx="181">
                  <c:v>9.8333333333333339</c:v>
                </c:pt>
                <c:pt idx="182">
                  <c:v>10.083333333333334</c:v>
                </c:pt>
                <c:pt idx="183">
                  <c:v>11.75</c:v>
                </c:pt>
                <c:pt idx="184">
                  <c:v>12.166666666666666</c:v>
                </c:pt>
                <c:pt idx="185">
                  <c:v>12.416666666666666</c:v>
                </c:pt>
                <c:pt idx="186">
                  <c:v>12.666666666666666</c:v>
                </c:pt>
                <c:pt idx="187">
                  <c:v>13.166666666666666</c:v>
                </c:pt>
                <c:pt idx="188">
                  <c:v>13.666666666666666</c:v>
                </c:pt>
                <c:pt idx="189">
                  <c:v>14.333333333333334</c:v>
                </c:pt>
                <c:pt idx="190">
                  <c:v>15.083333333333334</c:v>
                </c:pt>
                <c:pt idx="191">
                  <c:v>15.916666666666666</c:v>
                </c:pt>
                <c:pt idx="192">
                  <c:v>15.666666666666666</c:v>
                </c:pt>
                <c:pt idx="193">
                  <c:v>19.333333333333332</c:v>
                </c:pt>
                <c:pt idx="194">
                  <c:v>21.666666666666668</c:v>
                </c:pt>
                <c:pt idx="195">
                  <c:v>22.416666666666668</c:v>
                </c:pt>
                <c:pt idx="196">
                  <c:v>23.333333333333332</c:v>
                </c:pt>
                <c:pt idx="197">
                  <c:v>23.5</c:v>
                </c:pt>
                <c:pt idx="198">
                  <c:v>21.25</c:v>
                </c:pt>
                <c:pt idx="199">
                  <c:v>19.666666666666668</c:v>
                </c:pt>
                <c:pt idx="200">
                  <c:v>16.333333333333332</c:v>
                </c:pt>
                <c:pt idx="201">
                  <c:v>14</c:v>
                </c:pt>
                <c:pt idx="202">
                  <c:v>12.416666666666666</c:v>
                </c:pt>
                <c:pt idx="203">
                  <c:v>12.25</c:v>
                </c:pt>
                <c:pt idx="204">
                  <c:v>11.833333333333334</c:v>
                </c:pt>
                <c:pt idx="205">
                  <c:v>7.583333333333333</c:v>
                </c:pt>
                <c:pt idx="206">
                  <c:v>7.0769230769230766</c:v>
                </c:pt>
                <c:pt idx="207">
                  <c:v>5.1538461538461542</c:v>
                </c:pt>
                <c:pt idx="208">
                  <c:v>4.1538461538461542</c:v>
                </c:pt>
                <c:pt idx="209">
                  <c:v>3.6153846153846154</c:v>
                </c:pt>
                <c:pt idx="210">
                  <c:v>7.6923076923076927E-2</c:v>
                </c:pt>
                <c:pt idx="211">
                  <c:v>0.69230769230769229</c:v>
                </c:pt>
                <c:pt idx="212">
                  <c:v>0.84615384615384615</c:v>
                </c:pt>
                <c:pt idx="213">
                  <c:v>1.8461538461538463</c:v>
                </c:pt>
                <c:pt idx="214">
                  <c:v>3.7692307692307692</c:v>
                </c:pt>
                <c:pt idx="215">
                  <c:v>5.1538461538461542</c:v>
                </c:pt>
                <c:pt idx="216">
                  <c:v>3.5384615384615383</c:v>
                </c:pt>
                <c:pt idx="217">
                  <c:v>4.0769230769230766</c:v>
                </c:pt>
                <c:pt idx="218">
                  <c:v>4.615384615384615</c:v>
                </c:pt>
                <c:pt idx="219">
                  <c:v>6.2307692307692308</c:v>
                </c:pt>
                <c:pt idx="220">
                  <c:v>6.8461538461538458</c:v>
                </c:pt>
                <c:pt idx="221">
                  <c:v>5.9230769230769234</c:v>
                </c:pt>
                <c:pt idx="222">
                  <c:v>3.8461538461538463</c:v>
                </c:pt>
                <c:pt idx="223">
                  <c:v>6.7692307692307692</c:v>
                </c:pt>
                <c:pt idx="224">
                  <c:v>7.6923076923076925</c:v>
                </c:pt>
                <c:pt idx="225">
                  <c:v>9.1538461538461533</c:v>
                </c:pt>
                <c:pt idx="226">
                  <c:v>9.5</c:v>
                </c:pt>
                <c:pt idx="227">
                  <c:v>8.125</c:v>
                </c:pt>
                <c:pt idx="228">
                  <c:v>8.875</c:v>
                </c:pt>
                <c:pt idx="229">
                  <c:v>8.5625</c:v>
                </c:pt>
                <c:pt idx="230">
                  <c:v>5.9375</c:v>
                </c:pt>
                <c:pt idx="231">
                  <c:v>3.875</c:v>
                </c:pt>
                <c:pt idx="232">
                  <c:v>3.625</c:v>
                </c:pt>
                <c:pt idx="233">
                  <c:v>2.75</c:v>
                </c:pt>
                <c:pt idx="234">
                  <c:v>1.625</c:v>
                </c:pt>
                <c:pt idx="235">
                  <c:v>-1.0625</c:v>
                </c:pt>
                <c:pt idx="236">
                  <c:v>-4</c:v>
                </c:pt>
                <c:pt idx="237">
                  <c:v>-6.5</c:v>
                </c:pt>
                <c:pt idx="238">
                  <c:v>-8.3125</c:v>
                </c:pt>
                <c:pt idx="239">
                  <c:v>-17.46153846153846</c:v>
                </c:pt>
                <c:pt idx="240">
                  <c:v>-20.23076923076923</c:v>
                </c:pt>
                <c:pt idx="241">
                  <c:v>-24</c:v>
                </c:pt>
                <c:pt idx="242">
                  <c:v>-23.923076923076923</c:v>
                </c:pt>
                <c:pt idx="243">
                  <c:v>-26.46153846153846</c:v>
                </c:pt>
                <c:pt idx="244">
                  <c:v>-31.076923076923077</c:v>
                </c:pt>
                <c:pt idx="245">
                  <c:v>-34.92307692307692</c:v>
                </c:pt>
                <c:pt idx="246">
                  <c:v>-35.07692307692308</c:v>
                </c:pt>
                <c:pt idx="247">
                  <c:v>-34.615384615384613</c:v>
                </c:pt>
                <c:pt idx="248">
                  <c:v>-33.07692307692308</c:v>
                </c:pt>
                <c:pt idx="249">
                  <c:v>-30.923076923076923</c:v>
                </c:pt>
                <c:pt idx="250">
                  <c:v>-26.46153846153846</c:v>
                </c:pt>
                <c:pt idx="251">
                  <c:v>-21.76923076923077</c:v>
                </c:pt>
                <c:pt idx="252">
                  <c:v>-17.384615384615383</c:v>
                </c:pt>
                <c:pt idx="253">
                  <c:v>-14.23076923076923</c:v>
                </c:pt>
                <c:pt idx="254">
                  <c:v>-8.7692307692307701</c:v>
                </c:pt>
                <c:pt idx="255">
                  <c:v>-4.615384615384615</c:v>
                </c:pt>
                <c:pt idx="256">
                  <c:v>2.2307692307692308</c:v>
                </c:pt>
                <c:pt idx="257">
                  <c:v>10.615384615384615</c:v>
                </c:pt>
                <c:pt idx="258">
                  <c:v>17.846153846153847</c:v>
                </c:pt>
                <c:pt idx="259">
                  <c:v>17.846153846153847</c:v>
                </c:pt>
                <c:pt idx="260">
                  <c:v>18.153846153846153</c:v>
                </c:pt>
                <c:pt idx="261">
                  <c:v>17.384615384615383</c:v>
                </c:pt>
                <c:pt idx="262">
                  <c:v>17.615384615384617</c:v>
                </c:pt>
                <c:pt idx="263">
                  <c:v>16.23076923076923</c:v>
                </c:pt>
                <c:pt idx="264">
                  <c:v>12.153846153846153</c:v>
                </c:pt>
                <c:pt idx="265">
                  <c:v>10.153846153846153</c:v>
                </c:pt>
                <c:pt idx="266">
                  <c:v>9.1538461538461533</c:v>
                </c:pt>
                <c:pt idx="267">
                  <c:v>9.3076923076923084</c:v>
                </c:pt>
                <c:pt idx="268">
                  <c:v>7.1538461538461542</c:v>
                </c:pt>
                <c:pt idx="269">
                  <c:v>4.7692307692307692</c:v>
                </c:pt>
                <c:pt idx="270">
                  <c:v>1.2307692307692308</c:v>
                </c:pt>
                <c:pt idx="271">
                  <c:v>-3.2307692307692308</c:v>
                </c:pt>
                <c:pt idx="272">
                  <c:v>-4.2307692307692308</c:v>
                </c:pt>
                <c:pt idx="273">
                  <c:v>-6.6923076923076925</c:v>
                </c:pt>
                <c:pt idx="274">
                  <c:v>-5.6923076923076925</c:v>
                </c:pt>
                <c:pt idx="275">
                  <c:v>-6.4615384615384617</c:v>
                </c:pt>
                <c:pt idx="276">
                  <c:v>-9.2307692307692299</c:v>
                </c:pt>
                <c:pt idx="277">
                  <c:v>-9.3076923076923084</c:v>
                </c:pt>
                <c:pt idx="278">
                  <c:v>-10.76923076923077</c:v>
                </c:pt>
                <c:pt idx="279">
                  <c:v>-12.692307692307692</c:v>
                </c:pt>
                <c:pt idx="280">
                  <c:v>-15.23076923076923</c:v>
                </c:pt>
                <c:pt idx="281">
                  <c:v>-16.923076923076923</c:v>
                </c:pt>
                <c:pt idx="282">
                  <c:v>-17.53846153846154</c:v>
                </c:pt>
                <c:pt idx="283">
                  <c:v>-20.076923076923077</c:v>
                </c:pt>
                <c:pt idx="284">
                  <c:v>-22.46153846153846</c:v>
                </c:pt>
                <c:pt idx="285">
                  <c:v>-23.384615384615383</c:v>
                </c:pt>
                <c:pt idx="286">
                  <c:v>-23.76923076923077</c:v>
                </c:pt>
                <c:pt idx="287">
                  <c:v>-23</c:v>
                </c:pt>
                <c:pt idx="288">
                  <c:v>-25.307692307692307</c:v>
                </c:pt>
                <c:pt idx="289">
                  <c:v>-25.384615384615383</c:v>
                </c:pt>
                <c:pt idx="290">
                  <c:v>-25.76923076923077</c:v>
                </c:pt>
                <c:pt idx="291">
                  <c:v>-23.692307692307693</c:v>
                </c:pt>
                <c:pt idx="292">
                  <c:v>-20.692307692307693</c:v>
                </c:pt>
                <c:pt idx="293">
                  <c:v>-20.46153846153846</c:v>
                </c:pt>
                <c:pt idx="294">
                  <c:v>-19.53846153846154</c:v>
                </c:pt>
                <c:pt idx="295">
                  <c:v>-18.846153846153847</c:v>
                </c:pt>
                <c:pt idx="296">
                  <c:v>-17.615384615384617</c:v>
                </c:pt>
                <c:pt idx="297">
                  <c:v>-16.53846153846154</c:v>
                </c:pt>
                <c:pt idx="298">
                  <c:v>-15</c:v>
                </c:pt>
                <c:pt idx="299">
                  <c:v>-14</c:v>
                </c:pt>
                <c:pt idx="300">
                  <c:v>-14.076923076923077</c:v>
                </c:pt>
                <c:pt idx="301">
                  <c:v>-11.307692307692308</c:v>
                </c:pt>
                <c:pt idx="302">
                  <c:v>-11</c:v>
                </c:pt>
                <c:pt idx="303">
                  <c:v>-8.9230769230769234</c:v>
                </c:pt>
                <c:pt idx="304">
                  <c:v>-7.615384615384615</c:v>
                </c:pt>
                <c:pt idx="305">
                  <c:v>-6.5384615384615383</c:v>
                </c:pt>
                <c:pt idx="306">
                  <c:v>-5.3076923076923075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36-4E44-AE57-59F662427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843456"/>
        <c:axId val="112437120"/>
      </c:lineChart>
      <c:catAx>
        <c:axId val="99843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l">
                  <a:defRPr sz="9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solde des réponses +/- en % du total</a:t>
                </a:r>
              </a:p>
            </c:rich>
          </c:tx>
          <c:layout>
            <c:manualLayout>
              <c:xMode val="edge"/>
              <c:yMode val="edge"/>
              <c:x val="1.7881705639614855E-2"/>
              <c:y val="0.1716103919213488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l">
                <a:defRPr sz="900" b="0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@" sourceLinked="0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437120"/>
        <c:crossesAt val="-60"/>
        <c:auto val="0"/>
        <c:lblAlgn val="ctr"/>
        <c:lblOffset val="100"/>
        <c:tickLblSkip val="4"/>
        <c:tickMarkSkip val="12"/>
        <c:noMultiLvlLbl val="0"/>
      </c:catAx>
      <c:valAx>
        <c:axId val="112437120"/>
        <c:scaling>
          <c:orientation val="minMax"/>
          <c:max val="70"/>
          <c:min val="-60"/>
        </c:scaling>
        <c:delete val="0"/>
        <c:axPos val="l"/>
        <c:majorGridlines>
          <c:spPr>
            <a:ln w="12700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0" sourceLinked="0"/>
        <c:majorTickMark val="cross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843456"/>
        <c:crosses val="autoZero"/>
        <c:crossBetween val="midCat"/>
        <c:majorUnit val="20"/>
        <c:minorUnit val="20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Duration of assured production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</a:t>
            </a:r>
            <a:r>
              <a:rPr lang="fr-LU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quarterly data, monthly since 2020)</a:t>
            </a:r>
          </a:p>
        </c:rich>
      </c:tx>
      <c:layout>
        <c:manualLayout>
          <c:xMode val="edge"/>
          <c:yMode val="edge"/>
          <c:x val="0.34453822768556808"/>
          <c:y val="1.14081707037789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355932203389825E-2"/>
          <c:y val="0.1103075115028745"/>
          <c:w val="0.89830508474576276"/>
          <c:h val="0.7016281059527099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'données J1'!$D$3</c:f>
              <c:strCache>
                <c:ptCount val="1"/>
                <c:pt idx="0">
                  <c:v>Total industry</c:v>
                </c:pt>
              </c:strCache>
            </c:strRef>
          </c:tx>
          <c:spPr>
            <a:solidFill>
              <a:srgbClr val="9999FF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'données J1'!$A$72:$B$163</c:f>
              <c:strCache>
                <c:ptCount val="81"/>
                <c:pt idx="0">
                  <c:v>2015</c:v>
                </c:pt>
                <c:pt idx="4">
                  <c:v>2016</c:v>
                </c:pt>
                <c:pt idx="8">
                  <c:v>2017</c:v>
                </c:pt>
                <c:pt idx="12">
                  <c:v>2018</c:v>
                </c:pt>
                <c:pt idx="16">
                  <c:v>2019</c:v>
                </c:pt>
                <c:pt idx="20">
                  <c:v>2020</c:v>
                </c:pt>
                <c:pt idx="32">
                  <c:v>2021</c:v>
                </c:pt>
                <c:pt idx="44">
                  <c:v>2022</c:v>
                </c:pt>
                <c:pt idx="56">
                  <c:v>2023</c:v>
                </c:pt>
                <c:pt idx="68">
                  <c:v>2024</c:v>
                </c:pt>
                <c:pt idx="80">
                  <c:v>2025</c:v>
                </c:pt>
              </c:strCache>
            </c:strRef>
          </c:cat>
          <c:val>
            <c:numRef>
              <c:f>'données J1'!$C$72:$C$163</c:f>
              <c:numCache>
                <c:formatCode>General</c:formatCode>
                <c:ptCount val="92"/>
                <c:pt idx="0">
                  <c:v>3.3</c:v>
                </c:pt>
                <c:pt idx="1">
                  <c:v>3.6</c:v>
                </c:pt>
                <c:pt idx="2">
                  <c:v>3.7</c:v>
                </c:pt>
                <c:pt idx="3">
                  <c:v>3.7</c:v>
                </c:pt>
                <c:pt idx="4">
                  <c:v>3.7</c:v>
                </c:pt>
                <c:pt idx="5">
                  <c:v>3.6</c:v>
                </c:pt>
                <c:pt idx="6">
                  <c:v>3.7</c:v>
                </c:pt>
                <c:pt idx="7">
                  <c:v>3.8</c:v>
                </c:pt>
                <c:pt idx="8">
                  <c:v>3.6</c:v>
                </c:pt>
                <c:pt idx="9">
                  <c:v>3.7</c:v>
                </c:pt>
                <c:pt idx="10">
                  <c:v>4.0999999999999996</c:v>
                </c:pt>
                <c:pt idx="11" formatCode="0.0">
                  <c:v>4</c:v>
                </c:pt>
                <c:pt idx="12">
                  <c:v>4.0999999999999996</c:v>
                </c:pt>
                <c:pt idx="13">
                  <c:v>4.2</c:v>
                </c:pt>
                <c:pt idx="14">
                  <c:v>4</c:v>
                </c:pt>
                <c:pt idx="15">
                  <c:v>4.3</c:v>
                </c:pt>
                <c:pt idx="16">
                  <c:v>4.2</c:v>
                </c:pt>
                <c:pt idx="17">
                  <c:v>4.0999999999999996</c:v>
                </c:pt>
                <c:pt idx="18">
                  <c:v>4.2</c:v>
                </c:pt>
                <c:pt idx="19">
                  <c:v>4.2</c:v>
                </c:pt>
                <c:pt idx="20">
                  <c:v>4.2</c:v>
                </c:pt>
                <c:pt idx="21">
                  <c:v>4.5</c:v>
                </c:pt>
                <c:pt idx="22">
                  <c:v>4.5</c:v>
                </c:pt>
                <c:pt idx="23">
                  <c:v>4.2</c:v>
                </c:pt>
                <c:pt idx="24">
                  <c:v>5.3</c:v>
                </c:pt>
                <c:pt idx="25">
                  <c:v>4.7</c:v>
                </c:pt>
                <c:pt idx="26">
                  <c:v>5</c:v>
                </c:pt>
                <c:pt idx="27">
                  <c:v>5.5</c:v>
                </c:pt>
                <c:pt idx="28">
                  <c:v>5.3</c:v>
                </c:pt>
                <c:pt idx="29">
                  <c:v>5.3</c:v>
                </c:pt>
                <c:pt idx="30">
                  <c:v>4.5999999999999996</c:v>
                </c:pt>
                <c:pt idx="31">
                  <c:v>4.4000000000000004</c:v>
                </c:pt>
                <c:pt idx="32">
                  <c:v>5.5</c:v>
                </c:pt>
                <c:pt idx="33">
                  <c:v>4.7</c:v>
                </c:pt>
                <c:pt idx="34">
                  <c:v>4.7</c:v>
                </c:pt>
                <c:pt idx="35">
                  <c:v>4.8</c:v>
                </c:pt>
                <c:pt idx="36">
                  <c:v>4.8</c:v>
                </c:pt>
                <c:pt idx="37">
                  <c:v>4.7</c:v>
                </c:pt>
                <c:pt idx="38">
                  <c:v>4.5</c:v>
                </c:pt>
                <c:pt idx="39">
                  <c:v>5</c:v>
                </c:pt>
                <c:pt idx="40">
                  <c:v>4.9000000000000004</c:v>
                </c:pt>
                <c:pt idx="41">
                  <c:v>4.5</c:v>
                </c:pt>
                <c:pt idx="42">
                  <c:v>6.6</c:v>
                </c:pt>
                <c:pt idx="43">
                  <c:v>6.1</c:v>
                </c:pt>
                <c:pt idx="44">
                  <c:v>4.8</c:v>
                </c:pt>
                <c:pt idx="45">
                  <c:v>5</c:v>
                </c:pt>
                <c:pt idx="46">
                  <c:v>4.9000000000000004</c:v>
                </c:pt>
                <c:pt idx="47">
                  <c:v>4.9000000000000004</c:v>
                </c:pt>
                <c:pt idx="48">
                  <c:v>6.6</c:v>
                </c:pt>
                <c:pt idx="49">
                  <c:v>4.9000000000000004</c:v>
                </c:pt>
                <c:pt idx="50">
                  <c:v>4.8</c:v>
                </c:pt>
                <c:pt idx="51">
                  <c:v>4.5999999999999996</c:v>
                </c:pt>
                <c:pt idx="52">
                  <c:v>4.9000000000000004</c:v>
                </c:pt>
                <c:pt idx="53">
                  <c:v>4.5999999999999996</c:v>
                </c:pt>
                <c:pt idx="54">
                  <c:v>4.5999999999999996</c:v>
                </c:pt>
                <c:pt idx="55">
                  <c:v>4.9000000000000004</c:v>
                </c:pt>
                <c:pt idx="56">
                  <c:v>5</c:v>
                </c:pt>
                <c:pt idx="57">
                  <c:v>4.8</c:v>
                </c:pt>
                <c:pt idx="58">
                  <c:v>5</c:v>
                </c:pt>
                <c:pt idx="59">
                  <c:v>4.7</c:v>
                </c:pt>
                <c:pt idx="60">
                  <c:v>4.9000000000000004</c:v>
                </c:pt>
                <c:pt idx="61">
                  <c:v>5.0999999999999996</c:v>
                </c:pt>
                <c:pt idx="62">
                  <c:v>5.0999999999999996</c:v>
                </c:pt>
                <c:pt idx="63">
                  <c:v>4.7</c:v>
                </c:pt>
                <c:pt idx="64">
                  <c:v>5.3</c:v>
                </c:pt>
                <c:pt idx="65">
                  <c:v>5.5</c:v>
                </c:pt>
                <c:pt idx="66">
                  <c:v>4.5999999999999996</c:v>
                </c:pt>
                <c:pt idx="67">
                  <c:v>4.8</c:v>
                </c:pt>
                <c:pt idx="68">
                  <c:v>5.0999999999999996</c:v>
                </c:pt>
                <c:pt idx="69">
                  <c:v>5</c:v>
                </c:pt>
                <c:pt idx="70">
                  <c:v>5</c:v>
                </c:pt>
                <c:pt idx="71">
                  <c:v>4.9000000000000004</c:v>
                </c:pt>
                <c:pt idx="72">
                  <c:v>5.2</c:v>
                </c:pt>
                <c:pt idx="73">
                  <c:v>4.8</c:v>
                </c:pt>
                <c:pt idx="74">
                  <c:v>4.8</c:v>
                </c:pt>
                <c:pt idx="75">
                  <c:v>4.7</c:v>
                </c:pt>
                <c:pt idx="76">
                  <c:v>4.5999999999999996</c:v>
                </c:pt>
                <c:pt idx="77">
                  <c:v>4.8</c:v>
                </c:pt>
                <c:pt idx="78">
                  <c:v>4.7</c:v>
                </c:pt>
                <c:pt idx="79">
                  <c:v>5.0999999999999996</c:v>
                </c:pt>
                <c:pt idx="80">
                  <c:v>4.7</c:v>
                </c:pt>
                <c:pt idx="81">
                  <c:v>4.9000000000000004</c:v>
                </c:pt>
                <c:pt idx="82">
                  <c:v>4.8</c:v>
                </c:pt>
                <c:pt idx="83">
                  <c:v>5</c:v>
                </c:pt>
                <c:pt idx="84">
                  <c:v>5</c:v>
                </c:pt>
                <c:pt idx="85">
                  <c:v>5.2</c:v>
                </c:pt>
                <c:pt idx="86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81-4646-89AE-4F4C9BF33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28574592"/>
        <c:axId val="130873600"/>
      </c:barChart>
      <c:catAx>
        <c:axId val="128574592"/>
        <c:scaling>
          <c:orientation val="minMax"/>
        </c:scaling>
        <c:delete val="0"/>
        <c:axPos val="b"/>
        <c:numFmt formatCode="0.0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873600"/>
        <c:crosses val="autoZero"/>
        <c:auto val="0"/>
        <c:lblAlgn val="ctr"/>
        <c:lblOffset val="100"/>
        <c:noMultiLvlLbl val="0"/>
      </c:catAx>
      <c:valAx>
        <c:axId val="130873600"/>
        <c:scaling>
          <c:orientation val="minMax"/>
          <c:max val="6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574592"/>
        <c:crosses val="autoZero"/>
        <c:crossBetween val="between"/>
        <c:majorUnit val="1"/>
        <c:minorUnit val="1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36733265049185926"/>
          <c:y val="0.89330998182189247"/>
          <c:w val="0.27127072530567825"/>
          <c:h val="6.226481183522945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3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Recent production trends</a:t>
            </a:r>
          </a:p>
        </c:rich>
      </c:tx>
      <c:layout>
        <c:manualLayout>
          <c:xMode val="edge"/>
          <c:yMode val="edge"/>
          <c:x val="0.29591890299426854"/>
          <c:y val="8.96860986547085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523908382341464E-2"/>
          <c:y val="0.21300448430493274"/>
          <c:w val="0.91326682289478189"/>
          <c:h val="0.49551569506726456"/>
        </c:manualLayout>
      </c:layout>
      <c:lineChart>
        <c:grouping val="standard"/>
        <c:varyColors val="0"/>
        <c:ser>
          <c:idx val="4"/>
          <c:order val="0"/>
          <c:tx>
            <c:v>Total industry</c:v>
          </c:tx>
          <c:marker>
            <c:symbol val="none"/>
          </c:marker>
          <c:cat>
            <c:numRef>
              <c:f>'données J1'!$G$18:$G$341</c:f>
              <c:numCache>
                <c:formatCode>0</c:formatCode>
                <c:ptCount val="324"/>
                <c:pt idx="0">
                  <c:v>1999</c:v>
                </c:pt>
                <c:pt idx="12">
                  <c:v>2000</c:v>
                </c:pt>
                <c:pt idx="24">
                  <c:v>2001</c:v>
                </c:pt>
                <c:pt idx="36">
                  <c:v>2002</c:v>
                </c:pt>
                <c:pt idx="48">
                  <c:v>2003</c:v>
                </c:pt>
                <c:pt idx="60">
                  <c:v>2004</c:v>
                </c:pt>
                <c:pt idx="72">
                  <c:v>2005</c:v>
                </c:pt>
                <c:pt idx="84">
                  <c:v>2006</c:v>
                </c:pt>
                <c:pt idx="96">
                  <c:v>2007</c:v>
                </c:pt>
                <c:pt idx="108">
                  <c:v>2008</c:v>
                </c:pt>
                <c:pt idx="120">
                  <c:v>2009</c:v>
                </c:pt>
                <c:pt idx="132">
                  <c:v>2010</c:v>
                </c:pt>
                <c:pt idx="144">
                  <c:v>2011</c:v>
                </c:pt>
                <c:pt idx="156">
                  <c:v>2012</c:v>
                </c:pt>
                <c:pt idx="168">
                  <c:v>2013</c:v>
                </c:pt>
                <c:pt idx="180">
                  <c:v>2014</c:v>
                </c:pt>
                <c:pt idx="192">
                  <c:v>2015</c:v>
                </c:pt>
                <c:pt idx="204">
                  <c:v>2016</c:v>
                </c:pt>
                <c:pt idx="216">
                  <c:v>2017</c:v>
                </c:pt>
                <c:pt idx="228">
                  <c:v>2018</c:v>
                </c:pt>
                <c:pt idx="240">
                  <c:v>2019</c:v>
                </c:pt>
                <c:pt idx="252" formatCode="General">
                  <c:v>2020</c:v>
                </c:pt>
                <c:pt idx="264" formatCode="General">
                  <c:v>2021</c:v>
                </c:pt>
                <c:pt idx="276" formatCode="General">
                  <c:v>2022</c:v>
                </c:pt>
                <c:pt idx="288" formatCode="General">
                  <c:v>2023</c:v>
                </c:pt>
                <c:pt idx="300" formatCode="General">
                  <c:v>2024</c:v>
                </c:pt>
                <c:pt idx="312" formatCode="General">
                  <c:v>2025</c:v>
                </c:pt>
              </c:numCache>
            </c:numRef>
          </c:cat>
          <c:val>
            <c:numRef>
              <c:f>'données J1'!$K$18:$K$341</c:f>
              <c:numCache>
                <c:formatCode>0.00</c:formatCode>
                <c:ptCount val="324"/>
                <c:pt idx="0">
                  <c:v>3.6666666666666665</c:v>
                </c:pt>
                <c:pt idx="1">
                  <c:v>1.9166666666666667</c:v>
                </c:pt>
                <c:pt idx="2">
                  <c:v>-0.5</c:v>
                </c:pt>
                <c:pt idx="3">
                  <c:v>-2.25</c:v>
                </c:pt>
                <c:pt idx="4">
                  <c:v>-3.9166666666666665</c:v>
                </c:pt>
                <c:pt idx="5">
                  <c:v>-5.5</c:v>
                </c:pt>
                <c:pt idx="6">
                  <c:v>-6.5</c:v>
                </c:pt>
                <c:pt idx="7">
                  <c:v>-6.916666666666667</c:v>
                </c:pt>
                <c:pt idx="8">
                  <c:v>-6.166666666666667</c:v>
                </c:pt>
                <c:pt idx="9">
                  <c:v>-4.75</c:v>
                </c:pt>
                <c:pt idx="10">
                  <c:v>-3.3333333333333335</c:v>
                </c:pt>
                <c:pt idx="11">
                  <c:v>-0.83333333333333337</c:v>
                </c:pt>
                <c:pt idx="12">
                  <c:v>0.83333333333333337</c:v>
                </c:pt>
                <c:pt idx="13">
                  <c:v>2.0833333333333335</c:v>
                </c:pt>
                <c:pt idx="14">
                  <c:v>4.333333333333333</c:v>
                </c:pt>
                <c:pt idx="15">
                  <c:v>5.666666666666667</c:v>
                </c:pt>
                <c:pt idx="16">
                  <c:v>7.25</c:v>
                </c:pt>
                <c:pt idx="17">
                  <c:v>8</c:v>
                </c:pt>
                <c:pt idx="18">
                  <c:v>8.6666666666666661</c:v>
                </c:pt>
                <c:pt idx="19">
                  <c:v>9.6666666666666661</c:v>
                </c:pt>
                <c:pt idx="20">
                  <c:v>10.166666666666666</c:v>
                </c:pt>
                <c:pt idx="21">
                  <c:v>9.8333333333333339</c:v>
                </c:pt>
                <c:pt idx="22">
                  <c:v>9.6666666666666661</c:v>
                </c:pt>
                <c:pt idx="23">
                  <c:v>9.3333333333333339</c:v>
                </c:pt>
                <c:pt idx="24">
                  <c:v>8.6666666666666661</c:v>
                </c:pt>
                <c:pt idx="25">
                  <c:v>8.25</c:v>
                </c:pt>
                <c:pt idx="26">
                  <c:v>5.583333333333333</c:v>
                </c:pt>
                <c:pt idx="27">
                  <c:v>2.0833333333333335</c:v>
                </c:pt>
                <c:pt idx="28">
                  <c:v>-0.83333333333333337</c:v>
                </c:pt>
                <c:pt idx="29">
                  <c:v>-3.8333333333333335</c:v>
                </c:pt>
                <c:pt idx="30">
                  <c:v>-7.416666666666667</c:v>
                </c:pt>
                <c:pt idx="31">
                  <c:v>-10.5</c:v>
                </c:pt>
                <c:pt idx="32">
                  <c:v>-13.333333333333334</c:v>
                </c:pt>
                <c:pt idx="33">
                  <c:v>-15.333333333333334</c:v>
                </c:pt>
                <c:pt idx="34">
                  <c:v>-19.583333333333332</c:v>
                </c:pt>
                <c:pt idx="35">
                  <c:v>-23.833333333333332</c:v>
                </c:pt>
                <c:pt idx="36">
                  <c:v>-27.083333333333332</c:v>
                </c:pt>
                <c:pt idx="37">
                  <c:v>-30.5</c:v>
                </c:pt>
                <c:pt idx="38">
                  <c:v>-32.166666666666664</c:v>
                </c:pt>
                <c:pt idx="39">
                  <c:v>-31.75</c:v>
                </c:pt>
                <c:pt idx="40">
                  <c:v>-32.333333333333336</c:v>
                </c:pt>
                <c:pt idx="41">
                  <c:v>-32</c:v>
                </c:pt>
                <c:pt idx="42">
                  <c:v>-29.083333333333332</c:v>
                </c:pt>
                <c:pt idx="43">
                  <c:v>-27.75</c:v>
                </c:pt>
                <c:pt idx="44">
                  <c:v>-26.5</c:v>
                </c:pt>
                <c:pt idx="45">
                  <c:v>-24.75</c:v>
                </c:pt>
                <c:pt idx="46">
                  <c:v>-20.583333333333332</c:v>
                </c:pt>
                <c:pt idx="47">
                  <c:v>-18.166666666666668</c:v>
                </c:pt>
                <c:pt idx="48">
                  <c:v>-16.5</c:v>
                </c:pt>
                <c:pt idx="49">
                  <c:v>-13.833333333333334</c:v>
                </c:pt>
                <c:pt idx="50">
                  <c:v>-10.25</c:v>
                </c:pt>
                <c:pt idx="51">
                  <c:v>-7.416666666666667</c:v>
                </c:pt>
                <c:pt idx="52">
                  <c:v>-4.666666666666667</c:v>
                </c:pt>
                <c:pt idx="53">
                  <c:v>-5</c:v>
                </c:pt>
                <c:pt idx="54">
                  <c:v>-5.5</c:v>
                </c:pt>
                <c:pt idx="55">
                  <c:v>-4.833333333333333</c:v>
                </c:pt>
                <c:pt idx="56">
                  <c:v>-4.333333333333333</c:v>
                </c:pt>
                <c:pt idx="57">
                  <c:v>-3.4166666666666665</c:v>
                </c:pt>
                <c:pt idx="58">
                  <c:v>-2.5</c:v>
                </c:pt>
                <c:pt idx="59">
                  <c:v>-0.41666666666666669</c:v>
                </c:pt>
                <c:pt idx="60">
                  <c:v>1.5</c:v>
                </c:pt>
                <c:pt idx="61">
                  <c:v>2.1666666666666665</c:v>
                </c:pt>
                <c:pt idx="62">
                  <c:v>3.9166666666666665</c:v>
                </c:pt>
                <c:pt idx="63">
                  <c:v>4.666666666666667</c:v>
                </c:pt>
                <c:pt idx="64">
                  <c:v>6.666666666666667</c:v>
                </c:pt>
                <c:pt idx="65">
                  <c:v>10.916666666666666</c:v>
                </c:pt>
                <c:pt idx="66">
                  <c:v>13.416666666666666</c:v>
                </c:pt>
                <c:pt idx="67">
                  <c:v>15.583333333333334</c:v>
                </c:pt>
                <c:pt idx="68">
                  <c:v>17.083333333333332</c:v>
                </c:pt>
                <c:pt idx="69">
                  <c:v>17.166666666666668</c:v>
                </c:pt>
                <c:pt idx="70">
                  <c:v>16.833333333333332</c:v>
                </c:pt>
                <c:pt idx="71">
                  <c:v>16.083333333333332</c:v>
                </c:pt>
                <c:pt idx="72">
                  <c:v>14.916666666666666</c:v>
                </c:pt>
                <c:pt idx="73">
                  <c:v>14.5</c:v>
                </c:pt>
                <c:pt idx="74">
                  <c:v>10.5</c:v>
                </c:pt>
                <c:pt idx="75">
                  <c:v>7.833333333333333</c:v>
                </c:pt>
                <c:pt idx="76">
                  <c:v>3.0833333333333335</c:v>
                </c:pt>
                <c:pt idx="77">
                  <c:v>0.91666666666666663</c:v>
                </c:pt>
                <c:pt idx="78">
                  <c:v>-1.1666666666666667</c:v>
                </c:pt>
                <c:pt idx="79">
                  <c:v>-2.8333333333333335</c:v>
                </c:pt>
                <c:pt idx="80">
                  <c:v>-3.5</c:v>
                </c:pt>
                <c:pt idx="81">
                  <c:v>-4.083333333333333</c:v>
                </c:pt>
                <c:pt idx="82">
                  <c:v>-4.5</c:v>
                </c:pt>
                <c:pt idx="83">
                  <c:v>-4.333333333333333</c:v>
                </c:pt>
                <c:pt idx="84">
                  <c:v>-4.666666666666667</c:v>
                </c:pt>
                <c:pt idx="85">
                  <c:v>-5</c:v>
                </c:pt>
                <c:pt idx="86">
                  <c:v>-3.3333333333333335</c:v>
                </c:pt>
                <c:pt idx="87">
                  <c:v>-1.5</c:v>
                </c:pt>
                <c:pt idx="88">
                  <c:v>1</c:v>
                </c:pt>
                <c:pt idx="89">
                  <c:v>1.75</c:v>
                </c:pt>
                <c:pt idx="90">
                  <c:v>2.25</c:v>
                </c:pt>
                <c:pt idx="91">
                  <c:v>1.5833333333333333</c:v>
                </c:pt>
                <c:pt idx="92">
                  <c:v>1.3333333333333333</c:v>
                </c:pt>
                <c:pt idx="93">
                  <c:v>1.6666666666666667</c:v>
                </c:pt>
                <c:pt idx="94">
                  <c:v>2.3333333333333335</c:v>
                </c:pt>
                <c:pt idx="95">
                  <c:v>3.25</c:v>
                </c:pt>
                <c:pt idx="96">
                  <c:v>4.333333333333333</c:v>
                </c:pt>
                <c:pt idx="97">
                  <c:v>7.416666666666667</c:v>
                </c:pt>
                <c:pt idx="98">
                  <c:v>8.9166666666666661</c:v>
                </c:pt>
                <c:pt idx="99">
                  <c:v>8.9166666666666661</c:v>
                </c:pt>
                <c:pt idx="100">
                  <c:v>9.8333333333333339</c:v>
                </c:pt>
                <c:pt idx="101">
                  <c:v>10.583333333333334</c:v>
                </c:pt>
                <c:pt idx="102">
                  <c:v>10.833333333333334</c:v>
                </c:pt>
                <c:pt idx="103">
                  <c:v>11.583333333333334</c:v>
                </c:pt>
                <c:pt idx="104">
                  <c:v>11</c:v>
                </c:pt>
                <c:pt idx="105">
                  <c:v>11</c:v>
                </c:pt>
                <c:pt idx="106">
                  <c:v>10.666666666666666</c:v>
                </c:pt>
                <c:pt idx="107">
                  <c:v>10.083333333333334</c:v>
                </c:pt>
                <c:pt idx="108">
                  <c:v>9.4166666666666661</c:v>
                </c:pt>
                <c:pt idx="109">
                  <c:v>7.083333333333333</c:v>
                </c:pt>
                <c:pt idx="110">
                  <c:v>7</c:v>
                </c:pt>
                <c:pt idx="111">
                  <c:v>7.75</c:v>
                </c:pt>
                <c:pt idx="112">
                  <c:v>8.0833333333333339</c:v>
                </c:pt>
                <c:pt idx="113">
                  <c:v>7.083333333333333</c:v>
                </c:pt>
                <c:pt idx="114">
                  <c:v>5.916666666666667</c:v>
                </c:pt>
                <c:pt idx="115">
                  <c:v>5.166666666666667</c:v>
                </c:pt>
                <c:pt idx="116">
                  <c:v>4.583333333333333</c:v>
                </c:pt>
                <c:pt idx="117">
                  <c:v>1.5</c:v>
                </c:pt>
                <c:pt idx="118">
                  <c:v>-3.25</c:v>
                </c:pt>
                <c:pt idx="119">
                  <c:v>-9.1666666666666661</c:v>
                </c:pt>
                <c:pt idx="120">
                  <c:v>-14.5</c:v>
                </c:pt>
                <c:pt idx="121">
                  <c:v>-19.25</c:v>
                </c:pt>
                <c:pt idx="122">
                  <c:v>-25.083333333333332</c:v>
                </c:pt>
                <c:pt idx="123">
                  <c:v>-30.916666666666668</c:v>
                </c:pt>
                <c:pt idx="124">
                  <c:v>-35.916666666666664</c:v>
                </c:pt>
                <c:pt idx="125">
                  <c:v>-38.166666666666664</c:v>
                </c:pt>
                <c:pt idx="126">
                  <c:v>-39.333333333333336</c:v>
                </c:pt>
                <c:pt idx="127">
                  <c:v>-39.916666666666664</c:v>
                </c:pt>
                <c:pt idx="128">
                  <c:v>-39.5</c:v>
                </c:pt>
                <c:pt idx="129">
                  <c:v>-34.833333333333336</c:v>
                </c:pt>
                <c:pt idx="130">
                  <c:v>-30.416666666666668</c:v>
                </c:pt>
                <c:pt idx="131">
                  <c:v>-25.5</c:v>
                </c:pt>
                <c:pt idx="132">
                  <c:v>-17.666666666666668</c:v>
                </c:pt>
                <c:pt idx="133">
                  <c:v>-12.333333333333334</c:v>
                </c:pt>
                <c:pt idx="134">
                  <c:v>-5.25</c:v>
                </c:pt>
                <c:pt idx="135">
                  <c:v>2.5</c:v>
                </c:pt>
                <c:pt idx="136">
                  <c:v>8.4166666666666661</c:v>
                </c:pt>
                <c:pt idx="137">
                  <c:v>10.083333333333334</c:v>
                </c:pt>
                <c:pt idx="138">
                  <c:v>15.166666666666666</c:v>
                </c:pt>
                <c:pt idx="139">
                  <c:v>19.833333333333332</c:v>
                </c:pt>
                <c:pt idx="140">
                  <c:v>23.083333333333332</c:v>
                </c:pt>
                <c:pt idx="141">
                  <c:v>19.25</c:v>
                </c:pt>
                <c:pt idx="142">
                  <c:v>18</c:v>
                </c:pt>
                <c:pt idx="143">
                  <c:v>19.333333333333332</c:v>
                </c:pt>
                <c:pt idx="144">
                  <c:v>15.666666666666666</c:v>
                </c:pt>
                <c:pt idx="145">
                  <c:v>17.833333333333332</c:v>
                </c:pt>
                <c:pt idx="146">
                  <c:v>18.75</c:v>
                </c:pt>
                <c:pt idx="147">
                  <c:v>16.75</c:v>
                </c:pt>
                <c:pt idx="148">
                  <c:v>17.416666666666668</c:v>
                </c:pt>
                <c:pt idx="149">
                  <c:v>18.75</c:v>
                </c:pt>
                <c:pt idx="150">
                  <c:v>15.583333333333334</c:v>
                </c:pt>
                <c:pt idx="151">
                  <c:v>12.75</c:v>
                </c:pt>
                <c:pt idx="152">
                  <c:v>9.6666666666666661</c:v>
                </c:pt>
                <c:pt idx="153">
                  <c:v>12.25</c:v>
                </c:pt>
                <c:pt idx="154">
                  <c:v>12.166666666666666</c:v>
                </c:pt>
                <c:pt idx="155">
                  <c:v>8</c:v>
                </c:pt>
                <c:pt idx="156">
                  <c:v>6.5</c:v>
                </c:pt>
                <c:pt idx="157">
                  <c:v>4.333333333333333</c:v>
                </c:pt>
                <c:pt idx="158">
                  <c:v>-8.3333333333333329E-2</c:v>
                </c:pt>
                <c:pt idx="159">
                  <c:v>-2.25</c:v>
                </c:pt>
                <c:pt idx="160">
                  <c:v>-8.1666666666666661</c:v>
                </c:pt>
                <c:pt idx="161">
                  <c:v>-9.9166666666666661</c:v>
                </c:pt>
                <c:pt idx="162">
                  <c:v>-10.833333333333334</c:v>
                </c:pt>
                <c:pt idx="163">
                  <c:v>-12.833333333333334</c:v>
                </c:pt>
                <c:pt idx="164">
                  <c:v>-14.25</c:v>
                </c:pt>
                <c:pt idx="165">
                  <c:v>-17</c:v>
                </c:pt>
                <c:pt idx="166">
                  <c:v>-17.583333333333332</c:v>
                </c:pt>
                <c:pt idx="167">
                  <c:v>-15.833333333333334</c:v>
                </c:pt>
                <c:pt idx="168">
                  <c:v>-15.25</c:v>
                </c:pt>
                <c:pt idx="169">
                  <c:v>-19.083333333333332</c:v>
                </c:pt>
                <c:pt idx="170">
                  <c:v>-19.166666666666668</c:v>
                </c:pt>
                <c:pt idx="171">
                  <c:v>-18.5</c:v>
                </c:pt>
                <c:pt idx="172">
                  <c:v>-16.583333333333332</c:v>
                </c:pt>
                <c:pt idx="173">
                  <c:v>-16.416666666666668</c:v>
                </c:pt>
                <c:pt idx="174">
                  <c:v>-15.833333333333334</c:v>
                </c:pt>
                <c:pt idx="175">
                  <c:v>-15.166666666666666</c:v>
                </c:pt>
                <c:pt idx="176">
                  <c:v>-13.583333333333334</c:v>
                </c:pt>
                <c:pt idx="177">
                  <c:v>-12.416666666666666</c:v>
                </c:pt>
                <c:pt idx="178">
                  <c:v>-11.5</c:v>
                </c:pt>
                <c:pt idx="179">
                  <c:v>-11</c:v>
                </c:pt>
                <c:pt idx="180">
                  <c:v>-9.9166666666666661</c:v>
                </c:pt>
                <c:pt idx="181">
                  <c:v>-6.833333333333333</c:v>
                </c:pt>
                <c:pt idx="182">
                  <c:v>-5.916666666666667</c:v>
                </c:pt>
                <c:pt idx="183">
                  <c:v>-5.583333333333333</c:v>
                </c:pt>
                <c:pt idx="184">
                  <c:v>-3.1666666666666665</c:v>
                </c:pt>
                <c:pt idx="185">
                  <c:v>-1.3333333333333333</c:v>
                </c:pt>
                <c:pt idx="186">
                  <c:v>0</c:v>
                </c:pt>
                <c:pt idx="187">
                  <c:v>0.91666666666666663</c:v>
                </c:pt>
                <c:pt idx="188">
                  <c:v>1.5833333333333333</c:v>
                </c:pt>
                <c:pt idx="189">
                  <c:v>3.5833333333333335</c:v>
                </c:pt>
                <c:pt idx="190">
                  <c:v>5.583333333333333</c:v>
                </c:pt>
                <c:pt idx="191">
                  <c:v>7.666666666666667</c:v>
                </c:pt>
                <c:pt idx="192">
                  <c:v>9.6666666666666661</c:v>
                </c:pt>
                <c:pt idx="193">
                  <c:v>9.8333333333333339</c:v>
                </c:pt>
                <c:pt idx="194">
                  <c:v>10.083333333333334</c:v>
                </c:pt>
                <c:pt idx="195">
                  <c:v>11.75</c:v>
                </c:pt>
                <c:pt idx="196">
                  <c:v>12.166666666666666</c:v>
                </c:pt>
                <c:pt idx="197">
                  <c:v>12.416666666666666</c:v>
                </c:pt>
                <c:pt idx="198">
                  <c:v>12.666666666666666</c:v>
                </c:pt>
                <c:pt idx="199">
                  <c:v>13.166666666666666</c:v>
                </c:pt>
                <c:pt idx="200">
                  <c:v>13.666666666666666</c:v>
                </c:pt>
                <c:pt idx="201">
                  <c:v>14.333333333333334</c:v>
                </c:pt>
                <c:pt idx="202">
                  <c:v>15.083333333333334</c:v>
                </c:pt>
                <c:pt idx="203">
                  <c:v>15.916666666666666</c:v>
                </c:pt>
                <c:pt idx="204">
                  <c:v>15.666666666666666</c:v>
                </c:pt>
                <c:pt idx="205">
                  <c:v>19.333333333333332</c:v>
                </c:pt>
                <c:pt idx="206">
                  <c:v>21.666666666666668</c:v>
                </c:pt>
                <c:pt idx="207">
                  <c:v>22.416666666666668</c:v>
                </c:pt>
                <c:pt idx="208">
                  <c:v>23.333333333333332</c:v>
                </c:pt>
                <c:pt idx="209">
                  <c:v>23.5</c:v>
                </c:pt>
                <c:pt idx="210">
                  <c:v>21.25</c:v>
                </c:pt>
                <c:pt idx="211">
                  <c:v>19.666666666666668</c:v>
                </c:pt>
                <c:pt idx="212">
                  <c:v>16.333333333333332</c:v>
                </c:pt>
                <c:pt idx="213">
                  <c:v>14</c:v>
                </c:pt>
                <c:pt idx="214">
                  <c:v>12.416666666666666</c:v>
                </c:pt>
                <c:pt idx="215">
                  <c:v>12.25</c:v>
                </c:pt>
                <c:pt idx="216">
                  <c:v>11.833333333333334</c:v>
                </c:pt>
                <c:pt idx="217">
                  <c:v>7.583333333333333</c:v>
                </c:pt>
                <c:pt idx="218">
                  <c:v>7.0769230769230766</c:v>
                </c:pt>
                <c:pt idx="219">
                  <c:v>5.1538461538461542</c:v>
                </c:pt>
                <c:pt idx="220">
                  <c:v>4.1538461538461542</c:v>
                </c:pt>
                <c:pt idx="221">
                  <c:v>3.6153846153846154</c:v>
                </c:pt>
                <c:pt idx="222">
                  <c:v>7.6923076923076927E-2</c:v>
                </c:pt>
                <c:pt idx="223">
                  <c:v>0.69230769230769229</c:v>
                </c:pt>
                <c:pt idx="224">
                  <c:v>0.84615384615384615</c:v>
                </c:pt>
                <c:pt idx="225">
                  <c:v>1.8461538461538463</c:v>
                </c:pt>
                <c:pt idx="226">
                  <c:v>3.7692307692307692</c:v>
                </c:pt>
                <c:pt idx="227">
                  <c:v>5.1538461538461542</c:v>
                </c:pt>
                <c:pt idx="228">
                  <c:v>3.5384615384615383</c:v>
                </c:pt>
                <c:pt idx="229">
                  <c:v>4.0769230769230766</c:v>
                </c:pt>
                <c:pt idx="230">
                  <c:v>4.615384615384615</c:v>
                </c:pt>
                <c:pt idx="231">
                  <c:v>6.2307692307692308</c:v>
                </c:pt>
                <c:pt idx="232">
                  <c:v>6.8461538461538458</c:v>
                </c:pt>
                <c:pt idx="233">
                  <c:v>5.9230769230769234</c:v>
                </c:pt>
                <c:pt idx="234">
                  <c:v>3.8461538461538463</c:v>
                </c:pt>
                <c:pt idx="235">
                  <c:v>6.7692307692307692</c:v>
                </c:pt>
                <c:pt idx="236">
                  <c:v>7.6923076923076925</c:v>
                </c:pt>
                <c:pt idx="237">
                  <c:v>9.1538461538461533</c:v>
                </c:pt>
                <c:pt idx="238">
                  <c:v>9.5</c:v>
                </c:pt>
                <c:pt idx="239">
                  <c:v>8.125</c:v>
                </c:pt>
                <c:pt idx="240">
                  <c:v>8.875</c:v>
                </c:pt>
                <c:pt idx="241">
                  <c:v>8.5625</c:v>
                </c:pt>
                <c:pt idx="242">
                  <c:v>5.9375</c:v>
                </c:pt>
                <c:pt idx="243">
                  <c:v>3.875</c:v>
                </c:pt>
                <c:pt idx="244">
                  <c:v>3.625</c:v>
                </c:pt>
                <c:pt idx="245">
                  <c:v>2.75</c:v>
                </c:pt>
                <c:pt idx="246">
                  <c:v>1.625</c:v>
                </c:pt>
                <c:pt idx="247">
                  <c:v>-1.0625</c:v>
                </c:pt>
                <c:pt idx="248">
                  <c:v>-4</c:v>
                </c:pt>
                <c:pt idx="249">
                  <c:v>-6.5</c:v>
                </c:pt>
                <c:pt idx="250">
                  <c:v>-8.3125</c:v>
                </c:pt>
                <c:pt idx="251">
                  <c:v>-17.46153846153846</c:v>
                </c:pt>
                <c:pt idx="252">
                  <c:v>-20.23076923076923</c:v>
                </c:pt>
                <c:pt idx="253">
                  <c:v>-24</c:v>
                </c:pt>
                <c:pt idx="254">
                  <c:v>-23.923076923076923</c:v>
                </c:pt>
                <c:pt idx="255">
                  <c:v>-26.46153846153846</c:v>
                </c:pt>
                <c:pt idx="256">
                  <c:v>-31.076923076923077</c:v>
                </c:pt>
                <c:pt idx="257">
                  <c:v>-34.92307692307692</c:v>
                </c:pt>
                <c:pt idx="258">
                  <c:v>-35.07692307692308</c:v>
                </c:pt>
                <c:pt idx="259">
                  <c:v>-34.615384615384613</c:v>
                </c:pt>
                <c:pt idx="260">
                  <c:v>-33.07692307692308</c:v>
                </c:pt>
                <c:pt idx="261">
                  <c:v>-30.923076923076923</c:v>
                </c:pt>
                <c:pt idx="262">
                  <c:v>-26.46153846153846</c:v>
                </c:pt>
                <c:pt idx="263">
                  <c:v>-21.76923076923077</c:v>
                </c:pt>
                <c:pt idx="264">
                  <c:v>-17.384615384615383</c:v>
                </c:pt>
                <c:pt idx="265">
                  <c:v>-14.23076923076923</c:v>
                </c:pt>
                <c:pt idx="266">
                  <c:v>-8.7692307692307701</c:v>
                </c:pt>
                <c:pt idx="267">
                  <c:v>-4.615384615384615</c:v>
                </c:pt>
                <c:pt idx="268">
                  <c:v>2.2307692307692308</c:v>
                </c:pt>
                <c:pt idx="269">
                  <c:v>10.615384615384615</c:v>
                </c:pt>
                <c:pt idx="270">
                  <c:v>17.846153846153847</c:v>
                </c:pt>
                <c:pt idx="271">
                  <c:v>17.846153846153847</c:v>
                </c:pt>
                <c:pt idx="272">
                  <c:v>18.153846153846153</c:v>
                </c:pt>
                <c:pt idx="273">
                  <c:v>17.384615384615383</c:v>
                </c:pt>
                <c:pt idx="274">
                  <c:v>17.615384615384617</c:v>
                </c:pt>
                <c:pt idx="275">
                  <c:v>16.23076923076923</c:v>
                </c:pt>
                <c:pt idx="276">
                  <c:v>12.153846153846153</c:v>
                </c:pt>
                <c:pt idx="277">
                  <c:v>10.153846153846153</c:v>
                </c:pt>
                <c:pt idx="278">
                  <c:v>9.1538461538461533</c:v>
                </c:pt>
                <c:pt idx="279">
                  <c:v>9.3076923076923084</c:v>
                </c:pt>
                <c:pt idx="280">
                  <c:v>7.1538461538461542</c:v>
                </c:pt>
                <c:pt idx="281">
                  <c:v>4.7692307692307692</c:v>
                </c:pt>
                <c:pt idx="282">
                  <c:v>1.2307692307692308</c:v>
                </c:pt>
                <c:pt idx="283">
                  <c:v>-3.2307692307692308</c:v>
                </c:pt>
                <c:pt idx="284">
                  <c:v>-4.2307692307692308</c:v>
                </c:pt>
                <c:pt idx="285">
                  <c:v>-6.6923076923076925</c:v>
                </c:pt>
                <c:pt idx="286">
                  <c:v>-5.6923076923076925</c:v>
                </c:pt>
                <c:pt idx="287">
                  <c:v>-6.4615384615384617</c:v>
                </c:pt>
                <c:pt idx="288">
                  <c:v>-9.2307692307692299</c:v>
                </c:pt>
                <c:pt idx="289">
                  <c:v>-9.3076923076923084</c:v>
                </c:pt>
                <c:pt idx="290">
                  <c:v>-10.76923076923077</c:v>
                </c:pt>
                <c:pt idx="291">
                  <c:v>-12.692307692307692</c:v>
                </c:pt>
                <c:pt idx="292">
                  <c:v>-15.23076923076923</c:v>
                </c:pt>
                <c:pt idx="293">
                  <c:v>-16.923076923076923</c:v>
                </c:pt>
                <c:pt idx="294">
                  <c:v>-17.53846153846154</c:v>
                </c:pt>
                <c:pt idx="295">
                  <c:v>-20.076923076923077</c:v>
                </c:pt>
                <c:pt idx="296">
                  <c:v>-22.46153846153846</c:v>
                </c:pt>
                <c:pt idx="297">
                  <c:v>-23.384615384615383</c:v>
                </c:pt>
                <c:pt idx="298">
                  <c:v>-23.76923076923077</c:v>
                </c:pt>
                <c:pt idx="299">
                  <c:v>-23</c:v>
                </c:pt>
                <c:pt idx="300">
                  <c:v>-25.307692307692307</c:v>
                </c:pt>
                <c:pt idx="301">
                  <c:v>-25.384615384615383</c:v>
                </c:pt>
                <c:pt idx="302">
                  <c:v>-25.76923076923077</c:v>
                </c:pt>
                <c:pt idx="303">
                  <c:v>-23.692307692307693</c:v>
                </c:pt>
                <c:pt idx="304">
                  <c:v>-20.692307692307693</c:v>
                </c:pt>
                <c:pt idx="305">
                  <c:v>-20.46153846153846</c:v>
                </c:pt>
                <c:pt idx="306">
                  <c:v>-19.53846153846154</c:v>
                </c:pt>
                <c:pt idx="307">
                  <c:v>-18.846153846153847</c:v>
                </c:pt>
                <c:pt idx="308">
                  <c:v>-17.615384615384617</c:v>
                </c:pt>
                <c:pt idx="309">
                  <c:v>-16.53846153846154</c:v>
                </c:pt>
                <c:pt idx="310">
                  <c:v>-15</c:v>
                </c:pt>
                <c:pt idx="311">
                  <c:v>-14</c:v>
                </c:pt>
                <c:pt idx="312">
                  <c:v>-14.076923076923077</c:v>
                </c:pt>
                <c:pt idx="313">
                  <c:v>-11.307692307692308</c:v>
                </c:pt>
                <c:pt idx="314">
                  <c:v>-11</c:v>
                </c:pt>
                <c:pt idx="315">
                  <c:v>-8.9230769230769234</c:v>
                </c:pt>
                <c:pt idx="316">
                  <c:v>-7.615384615384615</c:v>
                </c:pt>
                <c:pt idx="317">
                  <c:v>-6.5384615384615383</c:v>
                </c:pt>
                <c:pt idx="318">
                  <c:v>-5.3076923076923075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A1E-4746-8DD1-B9004F575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007744"/>
        <c:axId val="85026304"/>
      </c:lineChart>
      <c:catAx>
        <c:axId val="8500774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l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balance of answers +/- in % of the total</a:t>
                </a:r>
              </a:p>
            </c:rich>
          </c:tx>
          <c:layout>
            <c:manualLayout>
              <c:xMode val="edge"/>
              <c:yMode val="edge"/>
              <c:x val="8.5034013605442185E-3"/>
              <c:y val="0.181614349775784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b" anchorCtr="0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026304"/>
        <c:crossesAt val="-60"/>
        <c:auto val="0"/>
        <c:lblAlgn val="ctr"/>
        <c:lblOffset val="100"/>
        <c:tickLblSkip val="4"/>
        <c:tickMarkSkip val="12"/>
        <c:noMultiLvlLbl val="1"/>
      </c:catAx>
      <c:valAx>
        <c:axId val="85026304"/>
        <c:scaling>
          <c:orientation val="minMax"/>
          <c:max val="70"/>
          <c:min val="-6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007744"/>
        <c:crosses val="autoZero"/>
        <c:crossBetween val="midCat"/>
        <c:majorUnit val="20"/>
        <c:min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8702139137919545"/>
          <c:y val="0.84175719560478657"/>
          <c:w val="0.15709843428924733"/>
          <c:h val="5.445171048534187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232954</xdr:colOff>
      <xdr:row>5</xdr:row>
      <xdr:rowOff>92119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84483" cy="11566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270509</xdr:colOff>
      <xdr:row>5</xdr:row>
      <xdr:rowOff>85725</xdr:rowOff>
    </xdr:from>
    <xdr:to>
      <xdr:col>14</xdr:col>
      <xdr:colOff>219888</xdr:colOff>
      <xdr:row>39</xdr:row>
      <xdr:rowOff>123825</xdr:rowOff>
    </xdr:to>
    <xdr:graphicFrame macro="">
      <xdr:nvGraphicFramePr>
        <xdr:cNvPr id="1481780" name="Chart 1">
          <a:extLst>
            <a:ext uri="{FF2B5EF4-FFF2-40B4-BE49-F238E27FC236}">
              <a16:creationId xmlns:a16="http://schemas.microsoft.com/office/drawing/2014/main" id="{00000000-0008-0000-0200-0000349C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333375</xdr:colOff>
      <xdr:row>41</xdr:row>
      <xdr:rowOff>85725</xdr:rowOff>
    </xdr:from>
    <xdr:to>
      <xdr:col>15</xdr:col>
      <xdr:colOff>781</xdr:colOff>
      <xdr:row>62</xdr:row>
      <xdr:rowOff>152400</xdr:rowOff>
    </xdr:to>
    <xdr:graphicFrame macro="">
      <xdr:nvGraphicFramePr>
        <xdr:cNvPr id="1481781" name="Chart 2">
          <a:extLst>
            <a:ext uri="{FF2B5EF4-FFF2-40B4-BE49-F238E27FC236}">
              <a16:creationId xmlns:a16="http://schemas.microsoft.com/office/drawing/2014/main" id="{00000000-0008-0000-0200-0000359C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0.00453</cdr:x>
      <cdr:y>0.02369</cdr:y>
    </cdr:from>
    <cdr:to>
      <cdr:x>0.10909</cdr:x>
      <cdr:y>0.07801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56" y="144098"/>
          <a:ext cx="977609" cy="3304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L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mois</a:t>
          </a:r>
          <a:endParaRPr lang="fr-LU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45720</xdr:rowOff>
    </xdr:from>
    <xdr:to>
      <xdr:col>1</xdr:col>
      <xdr:colOff>238760</xdr:colOff>
      <xdr:row>5</xdr:row>
      <xdr:rowOff>55833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720"/>
          <a:ext cx="2453640" cy="11480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12</xdr:col>
      <xdr:colOff>492486</xdr:colOff>
      <xdr:row>34</xdr:row>
      <xdr:rowOff>123825</xdr:rowOff>
    </xdr:to>
    <xdr:graphicFrame macro="">
      <xdr:nvGraphicFramePr>
        <xdr:cNvPr id="1485875" name="Chart 1">
          <a:extLst>
            <a:ext uri="{FF2B5EF4-FFF2-40B4-BE49-F238E27FC236}">
              <a16:creationId xmlns:a16="http://schemas.microsoft.com/office/drawing/2014/main" id="{00000000-0008-0000-0500-000033AC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</xdr:colOff>
      <xdr:row>34</xdr:row>
      <xdr:rowOff>47625</xdr:rowOff>
    </xdr:from>
    <xdr:to>
      <xdr:col>12</xdr:col>
      <xdr:colOff>601524</xdr:colOff>
      <xdr:row>57</xdr:row>
      <xdr:rowOff>142875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0.01601</cdr:x>
      <cdr:y>0.01953</cdr:y>
    </cdr:from>
    <cdr:to>
      <cdr:x>0.12366</cdr:x>
      <cdr:y>0.08164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8646" y="111198"/>
          <a:ext cx="999527" cy="353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LU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months</a:t>
          </a:r>
          <a:endParaRPr lang="fr-LU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8"/>
  <sheetViews>
    <sheetView showGridLines="0" showRowColHeaders="0" workbookViewId="0">
      <selection activeCell="E14" sqref="E14"/>
    </sheetView>
  </sheetViews>
  <sheetFormatPr defaultColWidth="8.85546875" defaultRowHeight="18.75"/>
  <cols>
    <col min="1" max="1" width="21.140625" style="169" customWidth="1"/>
    <col min="2" max="2" width="53.5703125" style="169" customWidth="1"/>
    <col min="3" max="3" width="3.140625" style="169" customWidth="1"/>
    <col min="4" max="4" width="18.42578125" style="173" customWidth="1"/>
    <col min="5" max="5" width="78.5703125" style="173" customWidth="1"/>
    <col min="6" max="16384" width="8.85546875" style="169"/>
  </cols>
  <sheetData>
    <row r="1" spans="1:11" ht="13.5" customHeight="1">
      <c r="A1" s="187" t="s">
        <v>162</v>
      </c>
      <c r="B1" s="187"/>
      <c r="C1" s="168"/>
      <c r="D1" s="187" t="s">
        <v>163</v>
      </c>
      <c r="E1" s="187"/>
    </row>
    <row r="2" spans="1:11">
      <c r="A2" s="187"/>
      <c r="B2" s="187"/>
      <c r="C2" s="168"/>
      <c r="D2" s="187"/>
      <c r="E2" s="187"/>
      <c r="F2" s="2"/>
      <c r="G2" s="2"/>
      <c r="H2" s="2"/>
      <c r="I2" s="2"/>
      <c r="J2" s="2"/>
      <c r="K2" s="2"/>
    </row>
    <row r="3" spans="1:11">
      <c r="A3" s="188" t="s">
        <v>160</v>
      </c>
      <c r="B3" s="188"/>
      <c r="C3" s="168"/>
      <c r="D3" s="188" t="s">
        <v>161</v>
      </c>
      <c r="E3" s="188"/>
    </row>
    <row r="4" spans="1:11">
      <c r="A4" s="170"/>
      <c r="B4" s="170"/>
      <c r="C4" s="168"/>
      <c r="D4" s="170"/>
      <c r="E4" s="170"/>
    </row>
    <row r="5" spans="1:11">
      <c r="A5" s="171" t="s">
        <v>144</v>
      </c>
      <c r="B5" s="171" t="s">
        <v>145</v>
      </c>
      <c r="C5" s="168"/>
      <c r="D5" s="172" t="s">
        <v>151</v>
      </c>
      <c r="E5" s="172" t="s">
        <v>152</v>
      </c>
    </row>
    <row r="6" spans="1:11">
      <c r="C6" s="168"/>
    </row>
    <row r="7" spans="1:11" ht="37.5">
      <c r="A7" s="174" t="s">
        <v>146</v>
      </c>
      <c r="B7" s="180" t="s">
        <v>181</v>
      </c>
      <c r="C7" s="168"/>
      <c r="D7" s="175" t="s">
        <v>153</v>
      </c>
      <c r="E7" s="173" t="s">
        <v>183</v>
      </c>
    </row>
    <row r="8" spans="1:11">
      <c r="A8" s="174" t="s">
        <v>147</v>
      </c>
      <c r="B8" s="169" t="s">
        <v>148</v>
      </c>
      <c r="C8" s="168"/>
      <c r="D8" s="175" t="s">
        <v>154</v>
      </c>
      <c r="E8" s="173" t="s">
        <v>155</v>
      </c>
    </row>
    <row r="9" spans="1:11">
      <c r="A9" s="174" t="s">
        <v>149</v>
      </c>
      <c r="B9" s="169" t="s">
        <v>150</v>
      </c>
      <c r="C9" s="168"/>
      <c r="D9" s="175" t="s">
        <v>149</v>
      </c>
      <c r="E9" s="173" t="s">
        <v>156</v>
      </c>
    </row>
    <row r="10" spans="1:11">
      <c r="C10" s="168"/>
    </row>
    <row r="11" spans="1:11">
      <c r="C11" s="168"/>
    </row>
    <row r="12" spans="1:11">
      <c r="C12" s="168"/>
    </row>
    <row r="13" spans="1:11">
      <c r="C13" s="168"/>
      <c r="E13" s="176"/>
    </row>
    <row r="14" spans="1:11">
      <c r="B14" s="177" t="str">
        <f>IRJ1_FR!AA1</f>
        <v>Édition du 22 juillet 2025 N°7/2025</v>
      </c>
      <c r="C14" s="168"/>
      <c r="E14" s="176" t="str">
        <f>IRJ1_EN!AA1</f>
        <v>Edition of July 22nd, 2025 N°7/2025</v>
      </c>
    </row>
    <row r="15" spans="1:11">
      <c r="C15" s="168"/>
    </row>
    <row r="16" spans="1:11">
      <c r="C16" s="168"/>
    </row>
    <row r="17" spans="3:3">
      <c r="C17" s="168"/>
    </row>
    <row r="18" spans="3:3">
      <c r="C18" s="168"/>
    </row>
    <row r="19" spans="3:3">
      <c r="C19" s="168"/>
    </row>
    <row r="20" spans="3:3">
      <c r="C20" s="168"/>
    </row>
    <row r="21" spans="3:3">
      <c r="C21" s="168"/>
    </row>
    <row r="22" spans="3:3">
      <c r="C22" s="168"/>
    </row>
    <row r="23" spans="3:3">
      <c r="C23" s="168"/>
    </row>
    <row r="24" spans="3:3">
      <c r="C24" s="168"/>
    </row>
    <row r="25" spans="3:3">
      <c r="C25" s="168"/>
    </row>
    <row r="26" spans="3:3">
      <c r="C26" s="168"/>
    </row>
    <row r="27" spans="3:3">
      <c r="C27" s="168"/>
    </row>
    <row r="28" spans="3:3">
      <c r="C28" s="168"/>
    </row>
    <row r="29" spans="3:3">
      <c r="C29" s="168"/>
    </row>
    <row r="30" spans="3:3">
      <c r="C30" s="168"/>
    </row>
    <row r="31" spans="3:3">
      <c r="C31" s="168"/>
    </row>
    <row r="32" spans="3:3">
      <c r="C32" s="168"/>
    </row>
    <row r="33" spans="3:3">
      <c r="C33" s="168"/>
    </row>
    <row r="34" spans="3:3">
      <c r="C34" s="168"/>
    </row>
    <row r="35" spans="3:3">
      <c r="C35" s="168"/>
    </row>
    <row r="36" spans="3:3">
      <c r="C36" s="168"/>
    </row>
    <row r="37" spans="3:3">
      <c r="C37" s="168"/>
    </row>
    <row r="38" spans="3:3">
      <c r="C38" s="168"/>
    </row>
  </sheetData>
  <mergeCells count="4">
    <mergeCell ref="A1:B2"/>
    <mergeCell ref="D1:E2"/>
    <mergeCell ref="A3:B3"/>
    <mergeCell ref="D3:E3"/>
  </mergeCells>
  <phoneticPr fontId="2" type="noConversion"/>
  <hyperlinks>
    <hyperlink ref="A7" location="IRJ1_FR!A1" display="IRJ1_FR" xr:uid="{00000000-0004-0000-0000-000000000000}"/>
    <hyperlink ref="A8" location="'graphique J1_FR'!A1" display="graphique J1_FR" xr:uid="{00000000-0004-0000-0000-000001000000}"/>
    <hyperlink ref="A9" location="'données J1'!A1" display="données J1" xr:uid="{00000000-0004-0000-0000-000002000000}"/>
    <hyperlink ref="D9" location="'données J1'!A1" display="données J1" xr:uid="{00000000-0004-0000-0000-000003000000}"/>
    <hyperlink ref="D7" location="IRJ1_EN!A1" display="IRJ1_EN" xr:uid="{00000000-0004-0000-0000-000004000000}"/>
    <hyperlink ref="D8" location="'graphique J1_EN'!A1" display="graph J1_EN" xr:uid="{00000000-0004-0000-0000-000005000000}"/>
  </hyperlinks>
  <pageMargins left="0.75" right="0.75" top="1" bottom="1" header="0.5" footer="0.5"/>
  <pageSetup paperSize="9" scale="6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D132"/>
  <sheetViews>
    <sheetView showGridLines="0" tabSelected="1" zoomScale="64" zoomScaleNormal="64" workbookViewId="0">
      <selection activeCell="B102" sqref="B102"/>
    </sheetView>
  </sheetViews>
  <sheetFormatPr defaultColWidth="11.42578125" defaultRowHeight="12.75"/>
  <cols>
    <col min="1" max="1" width="32.42578125" style="1" bestFit="1" customWidth="1"/>
    <col min="2" max="2" width="12.5703125" style="3" bestFit="1" customWidth="1"/>
    <col min="3" max="3" width="12.5703125" style="3" customWidth="1"/>
    <col min="4" max="21" width="7.42578125" style="1" customWidth="1"/>
    <col min="22" max="25" width="7.5703125" style="1" customWidth="1"/>
    <col min="26" max="26" width="8.5703125" style="1" customWidth="1"/>
    <col min="27" max="27" width="9.42578125" style="1" customWidth="1"/>
    <col min="28" max="16384" width="11.42578125" style="1"/>
  </cols>
  <sheetData>
    <row r="1" spans="1:27" s="10" customFormat="1" ht="15.7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9" t="s">
        <v>186</v>
      </c>
    </row>
    <row r="2" spans="1:27" s="10" customFormat="1" ht="15.7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9" t="s">
        <v>55</v>
      </c>
    </row>
    <row r="3" spans="1:27" s="10" customFormat="1" ht="15.7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9"/>
    </row>
    <row r="4" spans="1:27" s="10" customFormat="1" ht="28.5">
      <c r="A4" s="210" t="s">
        <v>180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</row>
    <row r="5" spans="1:27" s="10" customFormat="1" ht="8.25" customHeight="1">
      <c r="A5" s="11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s="12" customFormat="1" ht="25.5" customHeight="1">
      <c r="A6" s="205" t="s">
        <v>0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</row>
    <row r="7" spans="1:27" s="12" customFormat="1" ht="25.5" customHeight="1">
      <c r="A7" s="189" t="s">
        <v>60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</row>
    <row r="8" spans="1:27" s="10" customFormat="1" ht="9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13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 s="14" customFormat="1" ht="21">
      <c r="A9" s="206" t="s">
        <v>184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</row>
    <row r="10" spans="1:27" s="14" customFormat="1" ht="9.75" customHeight="1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</row>
    <row r="11" spans="1:27" ht="15.75">
      <c r="A11" s="204" t="s">
        <v>1</v>
      </c>
      <c r="B11" s="204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</row>
    <row r="13" spans="1:27" s="17" customFormat="1" ht="87.75" customHeight="1">
      <c r="A13" s="195" t="s">
        <v>2</v>
      </c>
      <c r="B13" s="190" t="s">
        <v>3</v>
      </c>
      <c r="C13" s="191"/>
      <c r="D13" s="190" t="s">
        <v>62</v>
      </c>
      <c r="E13" s="191"/>
      <c r="F13" s="190" t="s">
        <v>63</v>
      </c>
      <c r="G13" s="191"/>
      <c r="H13" s="190" t="s">
        <v>4</v>
      </c>
      <c r="I13" s="191"/>
      <c r="J13" s="190" t="s">
        <v>64</v>
      </c>
      <c r="K13" s="192"/>
      <c r="L13" s="211" t="s">
        <v>65</v>
      </c>
      <c r="M13" s="191"/>
      <c r="N13" s="190" t="s">
        <v>5</v>
      </c>
      <c r="O13" s="191"/>
      <c r="P13" s="190" t="s">
        <v>6</v>
      </c>
      <c r="Q13" s="191"/>
      <c r="R13" s="190" t="s">
        <v>7</v>
      </c>
      <c r="S13" s="191"/>
      <c r="T13" s="190" t="s">
        <v>66</v>
      </c>
      <c r="U13" s="191"/>
      <c r="V13" s="190" t="s">
        <v>67</v>
      </c>
      <c r="W13" s="191"/>
      <c r="X13" s="190" t="s">
        <v>68</v>
      </c>
      <c r="Y13" s="191"/>
      <c r="Z13" s="190" t="s">
        <v>69</v>
      </c>
      <c r="AA13" s="191"/>
    </row>
    <row r="14" spans="1:27" s="17" customFormat="1" ht="15.75">
      <c r="A14" s="212"/>
      <c r="B14" s="18"/>
      <c r="C14" s="19"/>
      <c r="D14" s="202" t="s">
        <v>159</v>
      </c>
      <c r="E14" s="203"/>
      <c r="F14" s="202" t="s">
        <v>70</v>
      </c>
      <c r="G14" s="203"/>
      <c r="H14" s="202" t="s">
        <v>71</v>
      </c>
      <c r="I14" s="203"/>
      <c r="J14" s="200" t="s">
        <v>72</v>
      </c>
      <c r="K14" s="201"/>
      <c r="L14" s="200" t="s">
        <v>73</v>
      </c>
      <c r="M14" s="201"/>
      <c r="N14" s="202" t="s">
        <v>74</v>
      </c>
      <c r="O14" s="203"/>
      <c r="P14" s="202" t="s">
        <v>75</v>
      </c>
      <c r="Q14" s="203"/>
      <c r="R14" s="202" t="s">
        <v>76</v>
      </c>
      <c r="S14" s="203"/>
      <c r="T14" s="202" t="s">
        <v>77</v>
      </c>
      <c r="U14" s="203"/>
      <c r="V14" s="202" t="s">
        <v>78</v>
      </c>
      <c r="W14" s="203"/>
      <c r="X14" s="202" t="s">
        <v>79</v>
      </c>
      <c r="Y14" s="203"/>
      <c r="Z14" s="202" t="s">
        <v>80</v>
      </c>
      <c r="AA14" s="203"/>
    </row>
    <row r="15" spans="1:27" s="17" customFormat="1" ht="15.75">
      <c r="A15" s="196"/>
      <c r="B15" s="20" t="s">
        <v>8</v>
      </c>
      <c r="C15" s="21" t="s">
        <v>8</v>
      </c>
      <c r="D15" s="21" t="s">
        <v>8</v>
      </c>
      <c r="E15" s="21" t="s">
        <v>8</v>
      </c>
      <c r="F15" s="21" t="s">
        <v>8</v>
      </c>
      <c r="G15" s="21" t="s">
        <v>8</v>
      </c>
      <c r="H15" s="21" t="s">
        <v>8</v>
      </c>
      <c r="I15" s="21" t="s">
        <v>8</v>
      </c>
      <c r="J15" s="21" t="s">
        <v>8</v>
      </c>
      <c r="K15" s="21" t="s">
        <v>8</v>
      </c>
      <c r="L15" s="21" t="s">
        <v>8</v>
      </c>
      <c r="M15" s="21" t="s">
        <v>8</v>
      </c>
      <c r="N15" s="21" t="s">
        <v>8</v>
      </c>
      <c r="O15" s="21" t="s">
        <v>8</v>
      </c>
      <c r="P15" s="21" t="s">
        <v>8</v>
      </c>
      <c r="Q15" s="21" t="s">
        <v>8</v>
      </c>
      <c r="R15" s="21" t="s">
        <v>8</v>
      </c>
      <c r="S15" s="21" t="s">
        <v>8</v>
      </c>
      <c r="T15" s="21" t="s">
        <v>8</v>
      </c>
      <c r="U15" s="21" t="s">
        <v>8</v>
      </c>
      <c r="V15" s="21" t="s">
        <v>8</v>
      </c>
      <c r="W15" s="21" t="s">
        <v>8</v>
      </c>
      <c r="X15" s="21" t="s">
        <v>8</v>
      </c>
      <c r="Y15" s="21" t="s">
        <v>8</v>
      </c>
      <c r="Z15" s="21" t="s">
        <v>8</v>
      </c>
      <c r="AA15" s="21" t="s">
        <v>8</v>
      </c>
    </row>
    <row r="16" spans="1:27" s="17" customFormat="1" ht="15.75">
      <c r="A16" s="197"/>
      <c r="B16" s="22" t="s">
        <v>9</v>
      </c>
      <c r="C16" s="22" t="s">
        <v>10</v>
      </c>
      <c r="D16" s="22" t="s">
        <v>9</v>
      </c>
      <c r="E16" s="22" t="s">
        <v>10</v>
      </c>
      <c r="F16" s="22" t="s">
        <v>9</v>
      </c>
      <c r="G16" s="22" t="s">
        <v>10</v>
      </c>
      <c r="H16" s="22" t="s">
        <v>9</v>
      </c>
      <c r="I16" s="22" t="s">
        <v>10</v>
      </c>
      <c r="J16" s="22" t="s">
        <v>9</v>
      </c>
      <c r="K16" s="22" t="s">
        <v>10</v>
      </c>
      <c r="L16" s="22" t="s">
        <v>9</v>
      </c>
      <c r="M16" s="22" t="s">
        <v>10</v>
      </c>
      <c r="N16" s="22" t="s">
        <v>9</v>
      </c>
      <c r="O16" s="22" t="s">
        <v>10</v>
      </c>
      <c r="P16" s="22" t="s">
        <v>9</v>
      </c>
      <c r="Q16" s="22" t="s">
        <v>10</v>
      </c>
      <c r="R16" s="22" t="s">
        <v>9</v>
      </c>
      <c r="S16" s="22" t="s">
        <v>10</v>
      </c>
      <c r="T16" s="22" t="s">
        <v>9</v>
      </c>
      <c r="U16" s="22" t="s">
        <v>10</v>
      </c>
      <c r="V16" s="22" t="s">
        <v>9</v>
      </c>
      <c r="W16" s="22" t="s">
        <v>10</v>
      </c>
      <c r="X16" s="22" t="s">
        <v>9</v>
      </c>
      <c r="Y16" s="22" t="s">
        <v>10</v>
      </c>
      <c r="Z16" s="22" t="s">
        <v>9</v>
      </c>
      <c r="AA16" s="22" t="s">
        <v>10</v>
      </c>
    </row>
    <row r="17" spans="1:30" s="17" customFormat="1" ht="11.25" customHeight="1">
      <c r="A17" s="23"/>
      <c r="B17" s="24"/>
      <c r="C17" s="24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6"/>
    </row>
    <row r="18" spans="1:30" s="17" customFormat="1" ht="15.75">
      <c r="A18" s="27" t="s">
        <v>81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 t="s">
        <v>59</v>
      </c>
      <c r="AA18" s="21"/>
      <c r="AC18"/>
      <c r="AD18"/>
    </row>
    <row r="19" spans="1:30" s="17" customFormat="1" ht="15.75">
      <c r="A19" s="23"/>
      <c r="B19" s="24"/>
      <c r="C19" s="24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9"/>
      <c r="AC19"/>
      <c r="AD19"/>
    </row>
    <row r="20" spans="1:30" s="17" customFormat="1" ht="12.75" customHeight="1">
      <c r="A20" s="30" t="s">
        <v>11</v>
      </c>
      <c r="B20" s="31">
        <v>33.4</v>
      </c>
      <c r="C20" s="32">
        <v>35</v>
      </c>
      <c r="D20" s="31">
        <v>17.299999999999997</v>
      </c>
      <c r="E20" s="32">
        <v>19.899999999999991</v>
      </c>
      <c r="F20" s="31">
        <v>1.8999999999999915</v>
      </c>
      <c r="G20" s="32">
        <v>1.8999999999999915</v>
      </c>
      <c r="H20" s="31">
        <v>88.8</v>
      </c>
      <c r="I20" s="33">
        <v>88.8</v>
      </c>
      <c r="J20" s="31">
        <v>20.799999999999997</v>
      </c>
      <c r="K20" s="33">
        <v>0</v>
      </c>
      <c r="L20" s="31">
        <v>16.599999999999994</v>
      </c>
      <c r="M20" s="33">
        <v>16.599999999999994</v>
      </c>
      <c r="N20" s="31">
        <v>0</v>
      </c>
      <c r="O20" s="33">
        <v>0</v>
      </c>
      <c r="P20" s="31">
        <v>21</v>
      </c>
      <c r="Q20" s="32">
        <v>21</v>
      </c>
      <c r="R20" s="31">
        <v>87</v>
      </c>
      <c r="S20" s="32">
        <v>87.1</v>
      </c>
      <c r="T20" s="31">
        <v>0</v>
      </c>
      <c r="U20" s="32">
        <v>0</v>
      </c>
      <c r="V20" s="31">
        <v>0</v>
      </c>
      <c r="W20" s="32">
        <v>49.9</v>
      </c>
      <c r="X20" s="31">
        <v>35.899999999999991</v>
      </c>
      <c r="Y20" s="32">
        <v>35.899999999999991</v>
      </c>
      <c r="Z20" s="31">
        <v>0</v>
      </c>
      <c r="AA20" s="33">
        <v>7.0999999999999943</v>
      </c>
      <c r="AC20"/>
      <c r="AD20"/>
    </row>
    <row r="21" spans="1:30" s="17" customFormat="1" ht="12.75" customHeight="1">
      <c r="A21" s="30" t="s">
        <v>12</v>
      </c>
      <c r="B21" s="31">
        <v>56</v>
      </c>
      <c r="C21" s="32">
        <v>46.900000000000006</v>
      </c>
      <c r="D21" s="31">
        <v>75.5</v>
      </c>
      <c r="E21" s="32">
        <v>58.1</v>
      </c>
      <c r="F21" s="31">
        <v>98.100000000000009</v>
      </c>
      <c r="G21" s="32">
        <v>98.100000000000009</v>
      </c>
      <c r="H21" s="31">
        <v>11.200000000000001</v>
      </c>
      <c r="I21" s="33">
        <v>11.200000000000001</v>
      </c>
      <c r="J21" s="31">
        <v>79.2</v>
      </c>
      <c r="K21" s="33">
        <v>45</v>
      </c>
      <c r="L21" s="31">
        <v>63.2</v>
      </c>
      <c r="M21" s="33">
        <v>53.7</v>
      </c>
      <c r="N21" s="31">
        <v>100</v>
      </c>
      <c r="O21" s="33">
        <v>65</v>
      </c>
      <c r="P21" s="31">
        <v>79</v>
      </c>
      <c r="Q21" s="32">
        <v>76</v>
      </c>
      <c r="R21" s="31">
        <v>10.100000000000001</v>
      </c>
      <c r="S21" s="32">
        <v>7.9</v>
      </c>
      <c r="T21" s="31">
        <v>63.300000000000004</v>
      </c>
      <c r="U21" s="32">
        <v>73.5</v>
      </c>
      <c r="V21" s="31">
        <v>100</v>
      </c>
      <c r="W21" s="32">
        <v>50.1</v>
      </c>
      <c r="X21" s="31">
        <v>29.5</v>
      </c>
      <c r="Y21" s="32">
        <v>27.1</v>
      </c>
      <c r="Z21" s="31">
        <v>93.300000000000011</v>
      </c>
      <c r="AA21" s="33">
        <v>75.8</v>
      </c>
      <c r="AC21"/>
      <c r="AD21"/>
    </row>
    <row r="22" spans="1:30" s="17" customFormat="1" ht="12.75" customHeight="1">
      <c r="A22" s="30" t="s">
        <v>13</v>
      </c>
      <c r="B22" s="31">
        <v>10.600000000000001</v>
      </c>
      <c r="C22" s="32">
        <v>18.100000000000001</v>
      </c>
      <c r="D22" s="31">
        <v>7.2</v>
      </c>
      <c r="E22" s="32">
        <v>22</v>
      </c>
      <c r="F22" s="31">
        <v>0</v>
      </c>
      <c r="G22" s="32">
        <v>0</v>
      </c>
      <c r="H22" s="31">
        <v>0</v>
      </c>
      <c r="I22" s="33">
        <v>0</v>
      </c>
      <c r="J22" s="31">
        <v>0</v>
      </c>
      <c r="K22" s="33">
        <v>55</v>
      </c>
      <c r="L22" s="31">
        <v>20.200000000000003</v>
      </c>
      <c r="M22" s="33">
        <v>29.700000000000003</v>
      </c>
      <c r="N22" s="31">
        <v>0</v>
      </c>
      <c r="O22" s="33">
        <v>35</v>
      </c>
      <c r="P22" s="31">
        <v>0</v>
      </c>
      <c r="Q22" s="32">
        <v>3</v>
      </c>
      <c r="R22" s="31">
        <v>2.9000000000000004</v>
      </c>
      <c r="S22" s="32">
        <v>5</v>
      </c>
      <c r="T22" s="31">
        <v>36.700000000000003</v>
      </c>
      <c r="U22" s="32">
        <v>26.5</v>
      </c>
      <c r="V22" s="31">
        <v>0</v>
      </c>
      <c r="W22" s="32">
        <v>0</v>
      </c>
      <c r="X22" s="31">
        <v>34.6</v>
      </c>
      <c r="Y22" s="32">
        <v>37</v>
      </c>
      <c r="Z22" s="31">
        <v>6.7</v>
      </c>
      <c r="AA22" s="33">
        <v>17.100000000000001</v>
      </c>
      <c r="AB22" s="17" t="s">
        <v>59</v>
      </c>
      <c r="AC22"/>
      <c r="AD22"/>
    </row>
    <row r="23" spans="1:30" s="17" customFormat="1" ht="12.75" customHeight="1">
      <c r="A23" s="27"/>
      <c r="B23" s="34"/>
      <c r="C23" s="186"/>
      <c r="D23" s="35"/>
      <c r="E23" s="36"/>
      <c r="F23" s="37"/>
      <c r="G23" s="38"/>
      <c r="H23" s="39"/>
      <c r="I23" s="39"/>
      <c r="J23" s="37"/>
      <c r="K23" s="37"/>
      <c r="L23" s="37"/>
      <c r="M23" s="37"/>
      <c r="N23" s="37"/>
      <c r="O23" s="37"/>
      <c r="P23" s="37"/>
      <c r="Q23" s="38"/>
      <c r="R23" s="37"/>
      <c r="S23" s="38"/>
      <c r="T23" s="37"/>
      <c r="U23" s="38"/>
      <c r="V23" s="37"/>
      <c r="W23" s="38"/>
      <c r="X23" s="37"/>
      <c r="Y23" s="38"/>
      <c r="Z23" s="37"/>
      <c r="AA23" s="40"/>
      <c r="AC23"/>
      <c r="AD23"/>
    </row>
    <row r="24" spans="1:30" s="17" customFormat="1" ht="15.75">
      <c r="A24" s="27" t="s">
        <v>23</v>
      </c>
      <c r="B24" s="41"/>
      <c r="C24" s="186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2"/>
      <c r="AC24"/>
      <c r="AD24"/>
    </row>
    <row r="25" spans="1:30" s="17" customFormat="1" ht="12.75" customHeight="1">
      <c r="A25" s="23"/>
      <c r="B25" s="43"/>
      <c r="C25" s="186"/>
      <c r="D25" s="35"/>
      <c r="E25" s="36"/>
      <c r="F25" s="35"/>
      <c r="G25" s="36"/>
      <c r="H25" s="35"/>
      <c r="I25" s="35"/>
      <c r="J25" s="35"/>
      <c r="K25" s="35"/>
      <c r="L25" s="35"/>
      <c r="M25" s="35"/>
      <c r="N25" s="35"/>
      <c r="O25" s="35"/>
      <c r="P25" s="35"/>
      <c r="Q25" s="36"/>
      <c r="R25" s="35"/>
      <c r="S25" s="36"/>
      <c r="T25" s="35"/>
      <c r="U25" s="36"/>
      <c r="V25" s="35"/>
      <c r="W25" s="36"/>
      <c r="X25" s="35"/>
      <c r="Y25" s="36"/>
      <c r="Z25" s="35"/>
      <c r="AA25" s="44"/>
      <c r="AC25"/>
      <c r="AD25"/>
    </row>
    <row r="26" spans="1:30" s="17" customFormat="1" ht="12.75" customHeight="1">
      <c r="A26" s="30" t="s">
        <v>24</v>
      </c>
      <c r="B26" s="31">
        <v>6.7</v>
      </c>
      <c r="C26" s="32">
        <v>8</v>
      </c>
      <c r="D26" s="31">
        <v>3.5999999999999943</v>
      </c>
      <c r="E26" s="32">
        <v>2.8999999999999915</v>
      </c>
      <c r="F26" s="31">
        <v>0</v>
      </c>
      <c r="G26" s="32">
        <v>0</v>
      </c>
      <c r="H26" s="31">
        <v>3.5999999999999943</v>
      </c>
      <c r="I26" s="33">
        <v>3.5999999999999943</v>
      </c>
      <c r="J26" s="31">
        <v>0</v>
      </c>
      <c r="K26" s="33">
        <v>0</v>
      </c>
      <c r="L26" s="31">
        <v>0</v>
      </c>
      <c r="M26" s="33">
        <v>0</v>
      </c>
      <c r="N26" s="31">
        <v>0</v>
      </c>
      <c r="O26" s="33">
        <v>0</v>
      </c>
      <c r="P26" s="31">
        <v>0</v>
      </c>
      <c r="Q26" s="32">
        <v>0</v>
      </c>
      <c r="R26" s="31">
        <v>0</v>
      </c>
      <c r="S26" s="32">
        <v>0</v>
      </c>
      <c r="T26" s="31">
        <v>0</v>
      </c>
      <c r="U26" s="32">
        <v>0</v>
      </c>
      <c r="V26" s="31">
        <v>19.699999999999989</v>
      </c>
      <c r="W26" s="32">
        <v>19.799999999999997</v>
      </c>
      <c r="X26" s="31">
        <v>36</v>
      </c>
      <c r="Y26" s="32">
        <v>35.899999999999991</v>
      </c>
      <c r="Z26" s="31">
        <v>0</v>
      </c>
      <c r="AA26" s="33">
        <v>24.700000000000003</v>
      </c>
      <c r="AC26"/>
      <c r="AD26"/>
    </row>
    <row r="27" spans="1:30" s="17" customFormat="1" ht="12.75" customHeight="1">
      <c r="A27" s="30" t="s">
        <v>25</v>
      </c>
      <c r="B27" s="31">
        <v>62</v>
      </c>
      <c r="C27" s="32">
        <v>60.5</v>
      </c>
      <c r="D27" s="31">
        <v>86.100000000000009</v>
      </c>
      <c r="E27" s="32">
        <v>71.900000000000006</v>
      </c>
      <c r="F27" s="31">
        <v>100</v>
      </c>
      <c r="G27" s="32">
        <v>100</v>
      </c>
      <c r="H27" s="31">
        <v>6.9</v>
      </c>
      <c r="I27" s="33">
        <v>6.9</v>
      </c>
      <c r="J27" s="31">
        <v>80.300000000000011</v>
      </c>
      <c r="K27" s="33">
        <v>71.3</v>
      </c>
      <c r="L27" s="31">
        <v>79.400000000000006</v>
      </c>
      <c r="M27" s="33">
        <v>95.2</v>
      </c>
      <c r="N27" s="31">
        <v>56.6</v>
      </c>
      <c r="O27" s="33">
        <v>56.7</v>
      </c>
      <c r="P27" s="31">
        <v>48.900000000000006</v>
      </c>
      <c r="Q27" s="32">
        <v>48.900000000000006</v>
      </c>
      <c r="R27" s="31">
        <v>97.800000000000011</v>
      </c>
      <c r="S27" s="32">
        <v>97.800000000000011</v>
      </c>
      <c r="T27" s="31">
        <v>44.1</v>
      </c>
      <c r="U27" s="32">
        <v>44.400000000000006</v>
      </c>
      <c r="V27" s="31">
        <v>3.9000000000000004</v>
      </c>
      <c r="W27" s="32">
        <v>39.200000000000003</v>
      </c>
      <c r="X27" s="31">
        <v>11</v>
      </c>
      <c r="Y27" s="32">
        <v>8.7000000000000011</v>
      </c>
      <c r="Z27" s="31">
        <v>83.4</v>
      </c>
      <c r="AA27" s="33">
        <v>58.7</v>
      </c>
      <c r="AC27"/>
      <c r="AD27"/>
    </row>
    <row r="28" spans="1:30" s="17" customFormat="1" ht="12.75" customHeight="1">
      <c r="A28" s="30" t="s">
        <v>26</v>
      </c>
      <c r="B28" s="31">
        <v>31.200000000000003</v>
      </c>
      <c r="C28" s="32">
        <v>31.5</v>
      </c>
      <c r="D28" s="31">
        <v>10.3</v>
      </c>
      <c r="E28" s="32">
        <v>25.200000000000003</v>
      </c>
      <c r="F28" s="31">
        <v>0</v>
      </c>
      <c r="G28" s="32">
        <v>0</v>
      </c>
      <c r="H28" s="31">
        <v>89.5</v>
      </c>
      <c r="I28" s="33">
        <v>89.5</v>
      </c>
      <c r="J28" s="31">
        <v>19.700000000000003</v>
      </c>
      <c r="K28" s="33">
        <v>28.700000000000003</v>
      </c>
      <c r="L28" s="31">
        <v>20.6</v>
      </c>
      <c r="M28" s="33">
        <v>4.8000000000000007</v>
      </c>
      <c r="N28" s="31">
        <v>43.400000000000006</v>
      </c>
      <c r="O28" s="33">
        <v>43.300000000000004</v>
      </c>
      <c r="P28" s="31">
        <v>51.1</v>
      </c>
      <c r="Q28" s="32">
        <v>51.1</v>
      </c>
      <c r="R28" s="31">
        <v>2.2000000000000002</v>
      </c>
      <c r="S28" s="32">
        <v>2.2000000000000002</v>
      </c>
      <c r="T28" s="31">
        <v>55.900000000000006</v>
      </c>
      <c r="U28" s="32">
        <v>55.6</v>
      </c>
      <c r="V28" s="31">
        <v>76.400000000000006</v>
      </c>
      <c r="W28" s="32">
        <v>41</v>
      </c>
      <c r="X28" s="31">
        <v>53</v>
      </c>
      <c r="Y28" s="32">
        <v>55.400000000000006</v>
      </c>
      <c r="Z28" s="31">
        <v>16.600000000000001</v>
      </c>
      <c r="AA28" s="33">
        <v>16.600000000000001</v>
      </c>
      <c r="AC28"/>
      <c r="AD28"/>
    </row>
    <row r="29" spans="1:30" s="17" customFormat="1" ht="12.75" customHeight="1">
      <c r="A29" s="45"/>
      <c r="B29" s="43"/>
      <c r="C29" s="186"/>
      <c r="D29" s="35"/>
      <c r="E29" s="36"/>
      <c r="F29" s="35"/>
      <c r="G29" s="36"/>
      <c r="H29" s="35"/>
      <c r="I29" s="35"/>
      <c r="J29" s="35"/>
      <c r="K29" s="35"/>
      <c r="L29" s="35"/>
      <c r="M29" s="35"/>
      <c r="N29" s="35"/>
      <c r="O29" s="35"/>
      <c r="P29" s="35"/>
      <c r="Q29" s="36"/>
      <c r="R29" s="35"/>
      <c r="S29" s="36"/>
      <c r="T29" s="35"/>
      <c r="U29" s="36"/>
      <c r="V29" s="35"/>
      <c r="W29" s="36"/>
      <c r="X29" s="35"/>
      <c r="Y29" s="36"/>
      <c r="Z29" s="35"/>
      <c r="AA29" s="44"/>
      <c r="AC29"/>
      <c r="AD29"/>
    </row>
    <row r="30" spans="1:30" s="17" customFormat="1" ht="15.75">
      <c r="A30" s="27" t="s">
        <v>27</v>
      </c>
      <c r="B30" s="41"/>
      <c r="C30" s="186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2"/>
      <c r="AC30"/>
      <c r="AD30"/>
    </row>
    <row r="31" spans="1:30" s="17" customFormat="1" ht="12.75" customHeight="1">
      <c r="A31" s="23"/>
      <c r="B31" s="43"/>
      <c r="C31" s="186"/>
      <c r="D31" s="35"/>
      <c r="E31" s="36"/>
      <c r="F31" s="35"/>
      <c r="G31" s="36"/>
      <c r="H31" s="35"/>
      <c r="I31" s="35"/>
      <c r="J31" s="35"/>
      <c r="K31" s="35"/>
      <c r="L31" s="35"/>
      <c r="M31" s="35"/>
      <c r="N31" s="35"/>
      <c r="O31" s="35"/>
      <c r="P31" s="35"/>
      <c r="Q31" s="36"/>
      <c r="R31" s="35"/>
      <c r="S31" s="36"/>
      <c r="T31" s="35"/>
      <c r="U31" s="36"/>
      <c r="V31" s="35"/>
      <c r="W31" s="36"/>
      <c r="X31" s="35"/>
      <c r="Y31" s="36"/>
      <c r="Z31" s="35"/>
      <c r="AA31" s="44"/>
      <c r="AC31"/>
      <c r="AD31"/>
    </row>
    <row r="32" spans="1:30" s="17" customFormat="1" ht="12.75" customHeight="1">
      <c r="A32" s="30" t="s">
        <v>24</v>
      </c>
      <c r="B32" s="31">
        <v>6.8000000000000007</v>
      </c>
      <c r="C32" s="32">
        <v>7.6000000000000005</v>
      </c>
      <c r="D32" s="31">
        <v>0</v>
      </c>
      <c r="E32" s="32">
        <v>3</v>
      </c>
      <c r="F32" s="31">
        <v>0</v>
      </c>
      <c r="G32" s="32">
        <v>0</v>
      </c>
      <c r="H32" s="31">
        <v>3.5999999999999943</v>
      </c>
      <c r="I32" s="33">
        <v>3.5999999999999943</v>
      </c>
      <c r="J32" s="31">
        <v>0</v>
      </c>
      <c r="K32" s="33">
        <v>0</v>
      </c>
      <c r="L32" s="31">
        <v>0</v>
      </c>
      <c r="M32" s="33">
        <v>0</v>
      </c>
      <c r="N32" s="31">
        <v>0</v>
      </c>
      <c r="O32" s="33">
        <v>0</v>
      </c>
      <c r="P32" s="31">
        <v>0</v>
      </c>
      <c r="Q32" s="32">
        <v>0</v>
      </c>
      <c r="R32" s="31">
        <v>0</v>
      </c>
      <c r="S32" s="32">
        <v>0</v>
      </c>
      <c r="T32" s="31">
        <v>0</v>
      </c>
      <c r="U32" s="32">
        <v>0</v>
      </c>
      <c r="V32" s="31">
        <v>19.699999999999989</v>
      </c>
      <c r="W32" s="32">
        <v>19.799999999999997</v>
      </c>
      <c r="X32" s="31">
        <v>36</v>
      </c>
      <c r="Y32" s="32">
        <v>36</v>
      </c>
      <c r="Z32" s="31">
        <v>7.3999999999999915</v>
      </c>
      <c r="AA32" s="33">
        <v>18.599999999999994</v>
      </c>
      <c r="AC32"/>
      <c r="AD32"/>
    </row>
    <row r="33" spans="1:30" s="17" customFormat="1" ht="12.75" customHeight="1">
      <c r="A33" s="30" t="s">
        <v>25</v>
      </c>
      <c r="B33" s="31">
        <v>43.900000000000006</v>
      </c>
      <c r="C33" s="32">
        <v>42.300000000000004</v>
      </c>
      <c r="D33" s="31">
        <v>91.5</v>
      </c>
      <c r="E33" s="32">
        <v>80.2</v>
      </c>
      <c r="F33" s="31">
        <v>100</v>
      </c>
      <c r="G33" s="32">
        <v>100</v>
      </c>
      <c r="H33" s="31">
        <v>6.9</v>
      </c>
      <c r="I33" s="33">
        <v>6.9</v>
      </c>
      <c r="J33" s="31">
        <v>80.300000000000011</v>
      </c>
      <c r="K33" s="33">
        <v>71.3</v>
      </c>
      <c r="L33" s="31">
        <v>79.400000000000006</v>
      </c>
      <c r="M33" s="33">
        <v>95.2</v>
      </c>
      <c r="N33" s="31">
        <v>44.300000000000004</v>
      </c>
      <c r="O33" s="33">
        <v>44.5</v>
      </c>
      <c r="P33" s="31">
        <v>48.900000000000006</v>
      </c>
      <c r="Q33" s="32">
        <v>48.900000000000006</v>
      </c>
      <c r="R33" s="31">
        <v>16.900000000000002</v>
      </c>
      <c r="S33" s="32">
        <v>10.600000000000001</v>
      </c>
      <c r="T33" s="31">
        <v>53.2</v>
      </c>
      <c r="U33" s="32">
        <v>52.800000000000004</v>
      </c>
      <c r="V33" s="31">
        <v>3.9000000000000004</v>
      </c>
      <c r="W33" s="32">
        <v>39.200000000000003</v>
      </c>
      <c r="X33" s="31">
        <v>11</v>
      </c>
      <c r="Y33" s="32">
        <v>11</v>
      </c>
      <c r="Z33" s="31">
        <v>76</v>
      </c>
      <c r="AA33" s="33">
        <v>64.8</v>
      </c>
      <c r="AC33"/>
      <c r="AD33"/>
    </row>
    <row r="34" spans="1:30" s="17" customFormat="1" ht="12.75" customHeight="1">
      <c r="A34" s="30" t="s">
        <v>26</v>
      </c>
      <c r="B34" s="31">
        <v>49.300000000000004</v>
      </c>
      <c r="C34" s="32">
        <v>50.1</v>
      </c>
      <c r="D34" s="31">
        <v>8.5</v>
      </c>
      <c r="E34" s="32">
        <v>16.8</v>
      </c>
      <c r="F34" s="31">
        <v>0</v>
      </c>
      <c r="G34" s="32">
        <v>0</v>
      </c>
      <c r="H34" s="31">
        <v>89.5</v>
      </c>
      <c r="I34" s="33">
        <v>89.5</v>
      </c>
      <c r="J34" s="31">
        <v>19.700000000000003</v>
      </c>
      <c r="K34" s="33">
        <v>28.700000000000003</v>
      </c>
      <c r="L34" s="31">
        <v>20.6</v>
      </c>
      <c r="M34" s="33">
        <v>4.8000000000000007</v>
      </c>
      <c r="N34" s="31">
        <v>55.7</v>
      </c>
      <c r="O34" s="33">
        <v>55.5</v>
      </c>
      <c r="P34" s="31">
        <v>51.1</v>
      </c>
      <c r="Q34" s="32">
        <v>51.1</v>
      </c>
      <c r="R34" s="31">
        <v>83.100000000000009</v>
      </c>
      <c r="S34" s="32">
        <v>89.4</v>
      </c>
      <c r="T34" s="31">
        <v>46.800000000000004</v>
      </c>
      <c r="U34" s="32">
        <v>47.2</v>
      </c>
      <c r="V34" s="31">
        <v>76.400000000000006</v>
      </c>
      <c r="W34" s="32">
        <v>41</v>
      </c>
      <c r="X34" s="31">
        <v>53</v>
      </c>
      <c r="Y34" s="32">
        <v>53</v>
      </c>
      <c r="Z34" s="31">
        <v>16.600000000000001</v>
      </c>
      <c r="AA34" s="33">
        <v>16.600000000000001</v>
      </c>
      <c r="AC34"/>
      <c r="AD34"/>
    </row>
    <row r="35" spans="1:30" s="17" customFormat="1" ht="12.75" customHeight="1">
      <c r="A35" s="45"/>
      <c r="B35" s="43"/>
      <c r="C35" s="186"/>
      <c r="D35" s="35"/>
      <c r="E35" s="36"/>
      <c r="F35" s="35"/>
      <c r="G35" s="36"/>
      <c r="H35" s="35"/>
      <c r="I35" s="35"/>
      <c r="J35" s="35"/>
      <c r="K35" s="35"/>
      <c r="L35" s="35"/>
      <c r="M35" s="35"/>
      <c r="N35" s="35"/>
      <c r="O35" s="35"/>
      <c r="P35" s="35"/>
      <c r="Q35" s="36"/>
      <c r="R35" s="35"/>
      <c r="S35" s="36"/>
      <c r="T35" s="35"/>
      <c r="U35" s="36"/>
      <c r="V35" s="35"/>
      <c r="W35" s="36"/>
      <c r="X35" s="35"/>
      <c r="Y35" s="36"/>
      <c r="Z35" s="35"/>
      <c r="AA35" s="44"/>
      <c r="AC35"/>
      <c r="AD35"/>
    </row>
    <row r="36" spans="1:30" s="17" customFormat="1" ht="15.75">
      <c r="A36" s="27" t="s">
        <v>14</v>
      </c>
      <c r="B36" s="41"/>
      <c r="C36" s="186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2"/>
      <c r="AC36"/>
      <c r="AD36"/>
    </row>
    <row r="37" spans="1:30" s="17" customFormat="1" ht="12.75" customHeight="1">
      <c r="A37" s="23"/>
      <c r="B37" s="43"/>
      <c r="C37" s="186"/>
      <c r="D37" s="35"/>
      <c r="E37" s="36"/>
      <c r="F37" s="35"/>
      <c r="G37" s="36"/>
      <c r="H37" s="35"/>
      <c r="I37" s="35"/>
      <c r="J37" s="35"/>
      <c r="K37" s="35"/>
      <c r="L37" s="35"/>
      <c r="M37" s="35"/>
      <c r="N37" s="35"/>
      <c r="O37" s="35"/>
      <c r="P37" s="35"/>
      <c r="Q37" s="36"/>
      <c r="R37" s="35"/>
      <c r="S37" s="36"/>
      <c r="T37" s="35"/>
      <c r="U37" s="36"/>
      <c r="V37" s="35"/>
      <c r="W37" s="36"/>
      <c r="X37" s="35"/>
      <c r="Y37" s="36"/>
      <c r="Z37" s="35"/>
      <c r="AA37" s="44"/>
      <c r="AC37"/>
      <c r="AD37"/>
    </row>
    <row r="38" spans="1:30" s="17" customFormat="1" ht="12.75" customHeight="1">
      <c r="A38" s="30" t="s">
        <v>52</v>
      </c>
      <c r="B38" s="31">
        <v>17.8</v>
      </c>
      <c r="C38" s="32">
        <v>18.600000000000001</v>
      </c>
      <c r="D38" s="31">
        <v>8.0999999999999943</v>
      </c>
      <c r="E38" s="32">
        <v>8.0999999999999943</v>
      </c>
      <c r="F38" s="31">
        <v>0</v>
      </c>
      <c r="G38" s="32">
        <v>0</v>
      </c>
      <c r="H38" s="31">
        <v>85.2</v>
      </c>
      <c r="I38" s="33">
        <v>85.2</v>
      </c>
      <c r="J38" s="31">
        <v>0</v>
      </c>
      <c r="K38" s="33">
        <v>0</v>
      </c>
      <c r="L38" s="31">
        <v>20.199999999999989</v>
      </c>
      <c r="M38" s="33">
        <v>29.700000000000003</v>
      </c>
      <c r="N38" s="31">
        <v>35</v>
      </c>
      <c r="O38" s="33">
        <v>35</v>
      </c>
      <c r="P38" s="31">
        <v>40.799999999999997</v>
      </c>
      <c r="Q38" s="32">
        <v>40.799999999999997</v>
      </c>
      <c r="R38" s="31">
        <v>4.2999999999999972</v>
      </c>
      <c r="S38" s="32">
        <v>4.2999999999999972</v>
      </c>
      <c r="T38" s="31">
        <v>0</v>
      </c>
      <c r="U38" s="32">
        <v>0</v>
      </c>
      <c r="V38" s="31">
        <v>18.399999999999991</v>
      </c>
      <c r="W38" s="32">
        <v>18.399999999999991</v>
      </c>
      <c r="X38" s="31">
        <v>24</v>
      </c>
      <c r="Y38" s="32">
        <v>24</v>
      </c>
      <c r="Z38" s="31">
        <v>0</v>
      </c>
      <c r="AA38" s="33">
        <v>10</v>
      </c>
      <c r="AC38"/>
      <c r="AD38"/>
    </row>
    <row r="39" spans="1:30" s="17" customFormat="1" ht="12.75" customHeight="1">
      <c r="A39" s="30" t="s">
        <v>28</v>
      </c>
      <c r="B39" s="31">
        <v>79.2</v>
      </c>
      <c r="C39" s="32">
        <v>77.900000000000006</v>
      </c>
      <c r="D39" s="31">
        <v>81.600000000000009</v>
      </c>
      <c r="E39" s="32">
        <v>75.600000000000009</v>
      </c>
      <c r="F39" s="31">
        <v>100</v>
      </c>
      <c r="G39" s="32">
        <v>100</v>
      </c>
      <c r="H39" s="31">
        <v>11.200000000000001</v>
      </c>
      <c r="I39" s="33">
        <v>11.200000000000001</v>
      </c>
      <c r="J39" s="31">
        <v>79.2</v>
      </c>
      <c r="K39" s="33">
        <v>85.2</v>
      </c>
      <c r="L39" s="31">
        <v>79.800000000000011</v>
      </c>
      <c r="M39" s="33">
        <v>70.3</v>
      </c>
      <c r="N39" s="31">
        <v>65</v>
      </c>
      <c r="O39" s="33">
        <v>65</v>
      </c>
      <c r="P39" s="31">
        <v>59.2</v>
      </c>
      <c r="Q39" s="32">
        <v>59.2</v>
      </c>
      <c r="R39" s="31">
        <v>92.800000000000011</v>
      </c>
      <c r="S39" s="32">
        <v>92.800000000000011</v>
      </c>
      <c r="T39" s="31">
        <v>89</v>
      </c>
      <c r="U39" s="32">
        <v>88.2</v>
      </c>
      <c r="V39" s="31">
        <v>81.600000000000009</v>
      </c>
      <c r="W39" s="32">
        <v>81.600000000000009</v>
      </c>
      <c r="X39" s="31">
        <v>76</v>
      </c>
      <c r="Y39" s="32">
        <v>76</v>
      </c>
      <c r="Z39" s="31">
        <v>100</v>
      </c>
      <c r="AA39" s="33">
        <v>90</v>
      </c>
      <c r="AC39"/>
      <c r="AD39"/>
    </row>
    <row r="40" spans="1:30" s="17" customFormat="1" ht="12.75" customHeight="1">
      <c r="A40" s="30" t="s">
        <v>53</v>
      </c>
      <c r="B40" s="31">
        <v>3</v>
      </c>
      <c r="C40" s="32">
        <v>3.5</v>
      </c>
      <c r="D40" s="31">
        <v>10.3</v>
      </c>
      <c r="E40" s="32">
        <v>16.3</v>
      </c>
      <c r="F40" s="31">
        <v>0</v>
      </c>
      <c r="G40" s="32">
        <v>0</v>
      </c>
      <c r="H40" s="31">
        <v>3.6</v>
      </c>
      <c r="I40" s="33">
        <v>3.6</v>
      </c>
      <c r="J40" s="31">
        <v>20.8</v>
      </c>
      <c r="K40" s="33">
        <v>14.8</v>
      </c>
      <c r="L40" s="31">
        <v>0</v>
      </c>
      <c r="M40" s="33">
        <v>0</v>
      </c>
      <c r="N40" s="31">
        <v>0</v>
      </c>
      <c r="O40" s="33">
        <v>0</v>
      </c>
      <c r="P40" s="31">
        <v>0</v>
      </c>
      <c r="Q40" s="32">
        <v>0</v>
      </c>
      <c r="R40" s="31">
        <v>2.9000000000000004</v>
      </c>
      <c r="S40" s="32">
        <v>2.9000000000000004</v>
      </c>
      <c r="T40" s="31">
        <v>11</v>
      </c>
      <c r="U40" s="32">
        <v>11.8</v>
      </c>
      <c r="V40" s="31">
        <v>0</v>
      </c>
      <c r="W40" s="32">
        <v>0</v>
      </c>
      <c r="X40" s="31">
        <v>0</v>
      </c>
      <c r="Y40" s="32">
        <v>0</v>
      </c>
      <c r="Z40" s="31">
        <v>0</v>
      </c>
      <c r="AA40" s="33">
        <v>0</v>
      </c>
      <c r="AC40"/>
      <c r="AD40"/>
    </row>
    <row r="41" spans="1:30" s="17" customFormat="1" ht="12.75" customHeight="1">
      <c r="A41" s="23"/>
      <c r="B41" s="43"/>
      <c r="C41" s="186"/>
      <c r="D41" s="35"/>
      <c r="E41" s="36"/>
      <c r="F41" s="35"/>
      <c r="G41" s="36"/>
      <c r="H41" s="35"/>
      <c r="I41" s="35"/>
      <c r="J41" s="35"/>
      <c r="K41" s="35"/>
      <c r="L41" s="35"/>
      <c r="M41" s="35"/>
      <c r="N41" s="35"/>
      <c r="O41" s="35"/>
      <c r="P41" s="35"/>
      <c r="Q41" s="36"/>
      <c r="R41" s="35"/>
      <c r="S41" s="36"/>
      <c r="T41" s="35"/>
      <c r="U41" s="36"/>
      <c r="V41" s="35"/>
      <c r="W41" s="36"/>
      <c r="X41" s="35"/>
      <c r="Y41" s="36"/>
      <c r="Z41" s="35"/>
      <c r="AA41" s="44"/>
      <c r="AC41"/>
      <c r="AD41"/>
    </row>
    <row r="42" spans="1:30" s="17" customFormat="1" ht="15.75">
      <c r="A42" s="27" t="s">
        <v>29</v>
      </c>
      <c r="B42" s="41"/>
      <c r="C42" s="186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2"/>
      <c r="AC42"/>
      <c r="AD42"/>
    </row>
    <row r="43" spans="1:30" s="17" customFormat="1" ht="12.75" customHeight="1">
      <c r="A43" s="23"/>
      <c r="B43" s="43"/>
      <c r="C43" s="186"/>
      <c r="D43" s="35"/>
      <c r="E43" s="36"/>
      <c r="F43" s="35"/>
      <c r="G43" s="36"/>
      <c r="H43" s="35"/>
      <c r="I43" s="35"/>
      <c r="J43" s="35"/>
      <c r="K43" s="35"/>
      <c r="L43" s="35"/>
      <c r="M43" s="35"/>
      <c r="N43" s="35"/>
      <c r="O43" s="35"/>
      <c r="P43" s="35"/>
      <c r="Q43" s="36"/>
      <c r="R43" s="35"/>
      <c r="S43" s="36"/>
      <c r="T43" s="35"/>
      <c r="U43" s="36"/>
      <c r="V43" s="35"/>
      <c r="W43" s="36"/>
      <c r="X43" s="35"/>
      <c r="Y43" s="36"/>
      <c r="Z43" s="35"/>
      <c r="AA43" s="44"/>
      <c r="AC43"/>
      <c r="AD43"/>
    </row>
    <row r="44" spans="1:30" s="17" customFormat="1" ht="12.75" customHeight="1">
      <c r="A44" s="30" t="s">
        <v>30</v>
      </c>
      <c r="B44" s="31">
        <v>17.5</v>
      </c>
      <c r="C44" s="32">
        <v>17.2</v>
      </c>
      <c r="D44" s="31">
        <v>8.1999999999999886</v>
      </c>
      <c r="E44" s="32">
        <v>4</v>
      </c>
      <c r="F44" s="31">
        <v>1.8999999999999915</v>
      </c>
      <c r="G44" s="32">
        <v>0</v>
      </c>
      <c r="H44" s="31">
        <v>88.8</v>
      </c>
      <c r="I44" s="33">
        <v>88.8</v>
      </c>
      <c r="J44" s="31">
        <v>20.799999999999997</v>
      </c>
      <c r="K44" s="33">
        <v>0</v>
      </c>
      <c r="L44" s="31">
        <v>0</v>
      </c>
      <c r="M44" s="33">
        <v>4.7999999999999972</v>
      </c>
      <c r="N44" s="31">
        <v>0</v>
      </c>
      <c r="O44" s="33">
        <v>9.5999999999999943</v>
      </c>
      <c r="P44" s="31">
        <v>57</v>
      </c>
      <c r="Q44" s="32">
        <v>45.699999999999996</v>
      </c>
      <c r="R44" s="31">
        <v>9</v>
      </c>
      <c r="S44" s="32">
        <v>9</v>
      </c>
      <c r="T44" s="31">
        <v>0</v>
      </c>
      <c r="U44" s="32">
        <v>0</v>
      </c>
      <c r="V44" s="31">
        <v>0</v>
      </c>
      <c r="W44" s="32">
        <v>0</v>
      </c>
      <c r="X44" s="31">
        <v>36</v>
      </c>
      <c r="Y44" s="32">
        <v>37.4</v>
      </c>
      <c r="Z44" s="31">
        <v>0</v>
      </c>
      <c r="AA44" s="33">
        <v>0</v>
      </c>
      <c r="AC44"/>
      <c r="AD44"/>
    </row>
    <row r="45" spans="1:30" s="17" customFormat="1" ht="12.75" customHeight="1">
      <c r="A45" s="30" t="s">
        <v>31</v>
      </c>
      <c r="B45" s="31">
        <v>49.5</v>
      </c>
      <c r="C45" s="32">
        <v>48.5</v>
      </c>
      <c r="D45" s="31">
        <v>77.2</v>
      </c>
      <c r="E45" s="32">
        <v>68.100000000000009</v>
      </c>
      <c r="F45" s="31">
        <v>98.100000000000009</v>
      </c>
      <c r="G45" s="32">
        <v>98.100000000000009</v>
      </c>
      <c r="H45" s="31">
        <v>11.200000000000001</v>
      </c>
      <c r="I45" s="33">
        <v>11.200000000000001</v>
      </c>
      <c r="J45" s="31">
        <v>79.2</v>
      </c>
      <c r="K45" s="33">
        <v>40.5</v>
      </c>
      <c r="L45" s="31">
        <v>100</v>
      </c>
      <c r="M45" s="33">
        <v>95.2</v>
      </c>
      <c r="N45" s="31">
        <v>90.300000000000011</v>
      </c>
      <c r="O45" s="33">
        <v>90.4</v>
      </c>
      <c r="P45" s="31">
        <v>40</v>
      </c>
      <c r="Q45" s="32">
        <v>51.300000000000004</v>
      </c>
      <c r="R45" s="31">
        <v>2.3000000000000003</v>
      </c>
      <c r="S45" s="32">
        <v>2.3000000000000003</v>
      </c>
      <c r="T45" s="31">
        <v>69.5</v>
      </c>
      <c r="U45" s="32">
        <v>70.8</v>
      </c>
      <c r="V45" s="31">
        <v>100</v>
      </c>
      <c r="W45" s="32">
        <v>91.300000000000011</v>
      </c>
      <c r="X45" s="31">
        <v>18.7</v>
      </c>
      <c r="Y45" s="32">
        <v>15</v>
      </c>
      <c r="Z45" s="31">
        <v>66.2</v>
      </c>
      <c r="AA45" s="33">
        <v>83.100000000000009</v>
      </c>
      <c r="AC45"/>
      <c r="AD45"/>
    </row>
    <row r="46" spans="1:30" s="17" customFormat="1" ht="12.75" customHeight="1">
      <c r="A46" s="30" t="s">
        <v>32</v>
      </c>
      <c r="B46" s="31">
        <v>33.1</v>
      </c>
      <c r="C46" s="32">
        <v>34.300000000000004</v>
      </c>
      <c r="D46" s="31">
        <v>14.600000000000001</v>
      </c>
      <c r="E46" s="32">
        <v>27.900000000000002</v>
      </c>
      <c r="F46" s="31">
        <v>0</v>
      </c>
      <c r="G46" s="32">
        <v>1.9000000000000001</v>
      </c>
      <c r="H46" s="31">
        <v>0</v>
      </c>
      <c r="I46" s="33">
        <v>0</v>
      </c>
      <c r="J46" s="31">
        <v>0</v>
      </c>
      <c r="K46" s="33">
        <v>59.5</v>
      </c>
      <c r="L46" s="31">
        <v>0</v>
      </c>
      <c r="M46" s="33">
        <v>0</v>
      </c>
      <c r="N46" s="31">
        <v>9.7000000000000011</v>
      </c>
      <c r="O46" s="33">
        <v>0</v>
      </c>
      <c r="P46" s="31">
        <v>3</v>
      </c>
      <c r="Q46" s="32">
        <v>3</v>
      </c>
      <c r="R46" s="31">
        <v>88.7</v>
      </c>
      <c r="S46" s="32">
        <v>88.7</v>
      </c>
      <c r="T46" s="31">
        <v>30.5</v>
      </c>
      <c r="U46" s="32">
        <v>29.200000000000003</v>
      </c>
      <c r="V46" s="31">
        <v>0</v>
      </c>
      <c r="W46" s="32">
        <v>8.7000000000000011</v>
      </c>
      <c r="X46" s="31">
        <v>45.300000000000004</v>
      </c>
      <c r="Y46" s="32">
        <v>47.6</v>
      </c>
      <c r="Z46" s="31">
        <v>33.800000000000004</v>
      </c>
      <c r="AA46" s="33">
        <v>16.900000000000002</v>
      </c>
      <c r="AC46"/>
      <c r="AD46"/>
    </row>
    <row r="47" spans="1:30" s="17" customFormat="1" ht="12.75" customHeight="1">
      <c r="A47" s="23"/>
      <c r="B47" s="43"/>
      <c r="C47" s="186"/>
      <c r="D47" s="35"/>
      <c r="E47" s="36"/>
      <c r="F47" s="35"/>
      <c r="G47" s="36"/>
      <c r="H47" s="35"/>
      <c r="I47" s="35"/>
      <c r="J47" s="35"/>
      <c r="K47" s="35"/>
      <c r="L47" s="35"/>
      <c r="M47" s="35"/>
      <c r="N47" s="35"/>
      <c r="O47" s="35"/>
      <c r="P47" s="35"/>
      <c r="Q47" s="36"/>
      <c r="R47" s="35"/>
      <c r="S47" s="36"/>
      <c r="T47" s="35"/>
      <c r="U47" s="36"/>
      <c r="V47" s="35"/>
      <c r="W47" s="36"/>
      <c r="X47" s="35"/>
      <c r="Y47" s="36"/>
      <c r="Z47" s="35"/>
      <c r="AA47" s="44"/>
      <c r="AC47"/>
      <c r="AD47"/>
    </row>
    <row r="48" spans="1:30" s="17" customFormat="1" ht="15.75">
      <c r="A48" s="184" t="s">
        <v>179</v>
      </c>
      <c r="B48" s="79"/>
      <c r="C48" s="186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185"/>
      <c r="AC48"/>
      <c r="AD48"/>
    </row>
    <row r="49" spans="1:30" s="17" customFormat="1" ht="12.75" customHeight="1">
      <c r="A49" s="23"/>
      <c r="B49" s="43"/>
      <c r="C49" s="186"/>
      <c r="D49" s="35"/>
      <c r="E49" s="36"/>
      <c r="F49" s="35"/>
      <c r="G49" s="36"/>
      <c r="H49" s="35"/>
      <c r="I49" s="35"/>
      <c r="J49" s="35"/>
      <c r="K49" s="35"/>
      <c r="L49" s="35"/>
      <c r="M49" s="35"/>
      <c r="N49" s="35"/>
      <c r="O49" s="35"/>
      <c r="P49" s="35"/>
      <c r="Q49" s="36"/>
      <c r="R49" s="35"/>
      <c r="S49" s="36"/>
      <c r="T49" s="35"/>
      <c r="U49" s="36"/>
      <c r="V49" s="35"/>
      <c r="W49" s="36"/>
      <c r="X49" s="35"/>
      <c r="Y49" s="36"/>
      <c r="Z49" s="35"/>
      <c r="AA49" s="44"/>
      <c r="AC49"/>
      <c r="AD49"/>
    </row>
    <row r="50" spans="1:30" s="17" customFormat="1" ht="12.75" customHeight="1">
      <c r="A50" s="30" t="s">
        <v>175</v>
      </c>
      <c r="B50" s="31">
        <v>1</v>
      </c>
      <c r="C50" s="32">
        <v>1</v>
      </c>
      <c r="D50" s="31">
        <v>0</v>
      </c>
      <c r="E50" s="32">
        <v>0</v>
      </c>
      <c r="F50" s="31">
        <v>0</v>
      </c>
      <c r="G50" s="32">
        <v>0</v>
      </c>
      <c r="H50" s="31">
        <v>0</v>
      </c>
      <c r="I50" s="33">
        <v>0</v>
      </c>
      <c r="J50" s="31">
        <v>0</v>
      </c>
      <c r="K50" s="33">
        <v>0</v>
      </c>
      <c r="L50" s="31">
        <v>0</v>
      </c>
      <c r="M50" s="33">
        <v>0</v>
      </c>
      <c r="N50" s="31">
        <v>-0.10000000000000853</v>
      </c>
      <c r="O50" s="33">
        <v>9.9999999999994316E-2</v>
      </c>
      <c r="P50" s="31">
        <v>13.799999999999997</v>
      </c>
      <c r="Q50" s="32">
        <v>13.799999999999997</v>
      </c>
      <c r="R50" s="31">
        <v>0</v>
      </c>
      <c r="S50" s="32">
        <v>0</v>
      </c>
      <c r="T50" s="31">
        <v>0</v>
      </c>
      <c r="U50" s="32">
        <v>0</v>
      </c>
      <c r="V50" s="31">
        <v>5.0999999999999943</v>
      </c>
      <c r="W50" s="32">
        <v>5.0999999999999943</v>
      </c>
      <c r="X50" s="31">
        <v>-0.10000000000000853</v>
      </c>
      <c r="Y50" s="32">
        <v>0</v>
      </c>
      <c r="Z50" s="31">
        <v>0</v>
      </c>
      <c r="AA50" s="33">
        <v>0</v>
      </c>
      <c r="AC50"/>
      <c r="AD50"/>
    </row>
    <row r="51" spans="1:30" s="17" customFormat="1" ht="12.75" customHeight="1">
      <c r="A51" s="30" t="s">
        <v>176</v>
      </c>
      <c r="B51" s="31">
        <v>48.5</v>
      </c>
      <c r="C51" s="32">
        <v>40.900000000000006</v>
      </c>
      <c r="D51" s="31">
        <v>35.4</v>
      </c>
      <c r="E51" s="32">
        <v>31.5</v>
      </c>
      <c r="F51" s="31">
        <v>98.100000000000009</v>
      </c>
      <c r="G51" s="32">
        <v>0</v>
      </c>
      <c r="H51" s="31">
        <v>5.1000000000000005</v>
      </c>
      <c r="I51" s="33">
        <v>5.1000000000000005</v>
      </c>
      <c r="J51" s="31">
        <v>55</v>
      </c>
      <c r="K51" s="33">
        <v>55</v>
      </c>
      <c r="L51" s="31">
        <v>56.6</v>
      </c>
      <c r="M51" s="33">
        <v>29.3</v>
      </c>
      <c r="N51" s="31">
        <v>35</v>
      </c>
      <c r="O51" s="33">
        <v>31.6</v>
      </c>
      <c r="P51" s="31">
        <v>18.8</v>
      </c>
      <c r="Q51" s="32">
        <v>18.8</v>
      </c>
      <c r="R51" s="31">
        <v>80.900000000000006</v>
      </c>
      <c r="S51" s="32">
        <v>83.100000000000009</v>
      </c>
      <c r="T51" s="31">
        <v>35.6</v>
      </c>
      <c r="U51" s="32">
        <v>46.900000000000006</v>
      </c>
      <c r="V51" s="31">
        <v>3.9000000000000004</v>
      </c>
      <c r="W51" s="32">
        <v>3.9000000000000004</v>
      </c>
      <c r="X51" s="31">
        <v>36</v>
      </c>
      <c r="Y51" s="32">
        <v>37</v>
      </c>
      <c r="Z51" s="31">
        <v>30.700000000000003</v>
      </c>
      <c r="AA51" s="33">
        <v>62.2</v>
      </c>
      <c r="AC51"/>
      <c r="AD51"/>
    </row>
    <row r="52" spans="1:30" s="17" customFormat="1" ht="12.75" customHeight="1">
      <c r="A52" s="30" t="s">
        <v>177</v>
      </c>
      <c r="B52" s="31">
        <v>36.700000000000003</v>
      </c>
      <c r="C52" s="32">
        <v>45.400000000000006</v>
      </c>
      <c r="D52" s="31">
        <v>49</v>
      </c>
      <c r="E52" s="32">
        <v>55.7</v>
      </c>
      <c r="F52" s="31">
        <v>0</v>
      </c>
      <c r="G52" s="32">
        <v>98.100000000000009</v>
      </c>
      <c r="H52" s="31">
        <v>90.600000000000009</v>
      </c>
      <c r="I52" s="33">
        <v>90.600000000000009</v>
      </c>
      <c r="J52" s="31">
        <v>40.5</v>
      </c>
      <c r="K52" s="33">
        <v>40.5</v>
      </c>
      <c r="L52" s="31">
        <v>43.400000000000006</v>
      </c>
      <c r="M52" s="33">
        <v>70.7</v>
      </c>
      <c r="N52" s="31">
        <v>43.400000000000006</v>
      </c>
      <c r="O52" s="33">
        <v>55.5</v>
      </c>
      <c r="P52" s="31">
        <v>16.3</v>
      </c>
      <c r="Q52" s="32">
        <v>16.3</v>
      </c>
      <c r="R52" s="31">
        <v>11.8</v>
      </c>
      <c r="S52" s="32">
        <v>11.8</v>
      </c>
      <c r="T52" s="31">
        <v>46.300000000000004</v>
      </c>
      <c r="U52" s="32">
        <v>30.700000000000003</v>
      </c>
      <c r="V52" s="31">
        <v>72.100000000000009</v>
      </c>
      <c r="W52" s="32">
        <v>72.100000000000009</v>
      </c>
      <c r="X52" s="31">
        <v>49.300000000000004</v>
      </c>
      <c r="Y52" s="32">
        <v>49.800000000000004</v>
      </c>
      <c r="Z52" s="31">
        <v>62.6</v>
      </c>
      <c r="AA52" s="33">
        <v>20.900000000000002</v>
      </c>
      <c r="AC52"/>
      <c r="AD52"/>
    </row>
    <row r="53" spans="1:30" s="17" customFormat="1" ht="12.75" customHeight="1">
      <c r="A53" s="30" t="s">
        <v>178</v>
      </c>
      <c r="B53" s="31">
        <v>13.8</v>
      </c>
      <c r="C53" s="32">
        <v>12.700000000000001</v>
      </c>
      <c r="D53" s="31">
        <v>15.600000000000001</v>
      </c>
      <c r="E53" s="32">
        <v>12.8</v>
      </c>
      <c r="F53" s="31">
        <v>1.9000000000000001</v>
      </c>
      <c r="G53" s="32">
        <v>1.9000000000000001</v>
      </c>
      <c r="H53" s="31">
        <v>4.3</v>
      </c>
      <c r="I53" s="33">
        <v>4.3</v>
      </c>
      <c r="J53" s="31">
        <v>4.5</v>
      </c>
      <c r="K53" s="33">
        <v>4.5</v>
      </c>
      <c r="L53" s="31">
        <v>0</v>
      </c>
      <c r="M53" s="33">
        <v>0</v>
      </c>
      <c r="N53" s="31">
        <v>21.700000000000003</v>
      </c>
      <c r="O53" s="33">
        <v>12.8</v>
      </c>
      <c r="P53" s="31">
        <v>51.1</v>
      </c>
      <c r="Q53" s="32">
        <v>51.1</v>
      </c>
      <c r="R53" s="31">
        <v>7.3000000000000007</v>
      </c>
      <c r="S53" s="32">
        <v>5.1000000000000005</v>
      </c>
      <c r="T53" s="31">
        <v>18.100000000000001</v>
      </c>
      <c r="U53" s="32">
        <v>22.400000000000002</v>
      </c>
      <c r="V53" s="31">
        <v>18.900000000000002</v>
      </c>
      <c r="W53" s="32">
        <v>18.900000000000002</v>
      </c>
      <c r="X53" s="31">
        <v>14.8</v>
      </c>
      <c r="Y53" s="32">
        <v>13.200000000000001</v>
      </c>
      <c r="Z53" s="31">
        <v>6.7</v>
      </c>
      <c r="AA53" s="33">
        <v>16.900000000000002</v>
      </c>
      <c r="AC53"/>
      <c r="AD53"/>
    </row>
    <row r="54" spans="1:30" s="17" customFormat="1" ht="12.75" customHeight="1">
      <c r="A54" s="23"/>
      <c r="B54" s="43"/>
      <c r="C54" s="186"/>
      <c r="D54" s="35"/>
      <c r="E54" s="36"/>
      <c r="F54" s="35"/>
      <c r="G54" s="36"/>
      <c r="H54" s="35"/>
      <c r="I54" s="35"/>
      <c r="J54" s="35"/>
      <c r="K54" s="35"/>
      <c r="L54" s="35"/>
      <c r="M54" s="35"/>
      <c r="N54" s="35"/>
      <c r="O54" s="35"/>
      <c r="P54" s="35"/>
      <c r="Q54" s="36"/>
      <c r="R54" s="35"/>
      <c r="S54" s="36"/>
      <c r="T54" s="35"/>
      <c r="U54" s="36"/>
      <c r="V54" s="35"/>
      <c r="W54" s="36"/>
      <c r="X54" s="35"/>
      <c r="Y54" s="36"/>
      <c r="Z54" s="35"/>
      <c r="AA54" s="44"/>
      <c r="AC54"/>
      <c r="AD54"/>
    </row>
    <row r="55" spans="1:30" s="17" customFormat="1" ht="15.75">
      <c r="A55" s="27" t="s">
        <v>33</v>
      </c>
      <c r="B55" s="41"/>
      <c r="C55" s="186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2"/>
      <c r="AC55"/>
      <c r="AD55"/>
    </row>
    <row r="56" spans="1:30" s="17" customFormat="1" ht="12.75" customHeight="1">
      <c r="A56" s="23"/>
      <c r="B56" s="43"/>
      <c r="C56" s="186"/>
      <c r="D56" s="35"/>
      <c r="E56" s="36"/>
      <c r="F56" s="35"/>
      <c r="G56" s="36"/>
      <c r="H56" s="35"/>
      <c r="I56" s="35"/>
      <c r="J56" s="35"/>
      <c r="K56" s="35"/>
      <c r="L56" s="35"/>
      <c r="M56" s="35"/>
      <c r="N56" s="35"/>
      <c r="O56" s="35"/>
      <c r="P56" s="35"/>
      <c r="Q56" s="36"/>
      <c r="R56" s="35"/>
      <c r="S56" s="36"/>
      <c r="T56" s="35"/>
      <c r="U56" s="36"/>
      <c r="V56" s="35"/>
      <c r="W56" s="36"/>
      <c r="X56" s="35"/>
      <c r="Y56" s="36"/>
      <c r="Z56" s="35"/>
      <c r="AA56" s="44"/>
      <c r="AC56"/>
      <c r="AD56"/>
    </row>
    <row r="57" spans="1:30" s="17" customFormat="1" ht="12.75" customHeight="1">
      <c r="A57" s="30" t="s">
        <v>30</v>
      </c>
      <c r="B57" s="31">
        <v>17.600000000000001</v>
      </c>
      <c r="C57" s="32">
        <v>16.100000000000001</v>
      </c>
      <c r="D57" s="31">
        <v>27.399999999999991</v>
      </c>
      <c r="E57" s="32">
        <v>20.099999999999994</v>
      </c>
      <c r="F57" s="31">
        <v>0</v>
      </c>
      <c r="G57" s="32">
        <v>0</v>
      </c>
      <c r="H57" s="31">
        <v>85.2</v>
      </c>
      <c r="I57" s="33">
        <v>85.2</v>
      </c>
      <c r="J57" s="31">
        <v>19.699999999999989</v>
      </c>
      <c r="K57" s="33">
        <v>0</v>
      </c>
      <c r="L57" s="31">
        <v>36.799999999999997</v>
      </c>
      <c r="M57" s="33">
        <v>22.899999999999991</v>
      </c>
      <c r="N57" s="31">
        <v>0</v>
      </c>
      <c r="O57" s="33">
        <v>0</v>
      </c>
      <c r="P57" s="31">
        <v>16.299999999999997</v>
      </c>
      <c r="Q57" s="32">
        <v>0</v>
      </c>
      <c r="R57" s="31">
        <v>0</v>
      </c>
      <c r="S57" s="32">
        <v>0</v>
      </c>
      <c r="T57" s="31">
        <v>0</v>
      </c>
      <c r="U57" s="32">
        <v>0</v>
      </c>
      <c r="V57" s="31">
        <v>5.1999999999999886</v>
      </c>
      <c r="W57" s="32">
        <v>0</v>
      </c>
      <c r="X57" s="31">
        <v>43.699999999999996</v>
      </c>
      <c r="Y57" s="32">
        <v>42.699999999999996</v>
      </c>
      <c r="Z57" s="31">
        <v>16.599999999999994</v>
      </c>
      <c r="AA57" s="33">
        <v>42.4</v>
      </c>
      <c r="AC57"/>
      <c r="AD57"/>
    </row>
    <row r="58" spans="1:30" s="17" customFormat="1" ht="12.75" customHeight="1">
      <c r="A58" s="30" t="s">
        <v>31</v>
      </c>
      <c r="B58" s="31">
        <v>77.300000000000011</v>
      </c>
      <c r="C58" s="32">
        <v>58.1</v>
      </c>
      <c r="D58" s="31">
        <v>72.600000000000009</v>
      </c>
      <c r="E58" s="32">
        <v>79.900000000000006</v>
      </c>
      <c r="F58" s="31">
        <v>100</v>
      </c>
      <c r="G58" s="32">
        <v>100</v>
      </c>
      <c r="H58" s="31">
        <v>14.8</v>
      </c>
      <c r="I58" s="33">
        <v>14.8</v>
      </c>
      <c r="J58" s="31">
        <v>80.300000000000011</v>
      </c>
      <c r="K58" s="33">
        <v>45</v>
      </c>
      <c r="L58" s="31">
        <v>63.2</v>
      </c>
      <c r="M58" s="33">
        <v>77.100000000000009</v>
      </c>
      <c r="N58" s="31">
        <v>100</v>
      </c>
      <c r="O58" s="33">
        <v>100</v>
      </c>
      <c r="P58" s="31">
        <v>83.7</v>
      </c>
      <c r="Q58" s="32">
        <v>100</v>
      </c>
      <c r="R58" s="31">
        <v>97.800000000000011</v>
      </c>
      <c r="S58" s="32">
        <v>10.600000000000001</v>
      </c>
      <c r="T58" s="31">
        <v>88.2</v>
      </c>
      <c r="U58" s="32">
        <v>91.300000000000011</v>
      </c>
      <c r="V58" s="31">
        <v>94.800000000000011</v>
      </c>
      <c r="W58" s="32">
        <v>100</v>
      </c>
      <c r="X58" s="31">
        <v>32.700000000000003</v>
      </c>
      <c r="Y58" s="32">
        <v>33.700000000000003</v>
      </c>
      <c r="Z58" s="31">
        <v>83.4</v>
      </c>
      <c r="AA58" s="33">
        <v>43.6</v>
      </c>
      <c r="AC58"/>
      <c r="AD58"/>
    </row>
    <row r="59" spans="1:30" s="17" customFormat="1" ht="12.75" customHeight="1">
      <c r="A59" s="30" t="s">
        <v>32</v>
      </c>
      <c r="B59" s="31">
        <v>5.1000000000000005</v>
      </c>
      <c r="C59" s="32">
        <v>25.8</v>
      </c>
      <c r="D59" s="31">
        <v>0</v>
      </c>
      <c r="E59" s="32">
        <v>0</v>
      </c>
      <c r="F59" s="31">
        <v>0</v>
      </c>
      <c r="G59" s="32">
        <v>0</v>
      </c>
      <c r="H59" s="31">
        <v>0</v>
      </c>
      <c r="I59" s="33">
        <v>0</v>
      </c>
      <c r="J59" s="31">
        <v>0</v>
      </c>
      <c r="K59" s="33">
        <v>55</v>
      </c>
      <c r="L59" s="31">
        <v>0</v>
      </c>
      <c r="M59" s="33">
        <v>0</v>
      </c>
      <c r="N59" s="31">
        <v>0</v>
      </c>
      <c r="O59" s="33">
        <v>0</v>
      </c>
      <c r="P59" s="31">
        <v>0</v>
      </c>
      <c r="Q59" s="32">
        <v>0</v>
      </c>
      <c r="R59" s="31">
        <v>2.2000000000000002</v>
      </c>
      <c r="S59" s="32">
        <v>89.4</v>
      </c>
      <c r="T59" s="31">
        <v>11.8</v>
      </c>
      <c r="U59" s="32">
        <v>8.7000000000000011</v>
      </c>
      <c r="V59" s="31">
        <v>0</v>
      </c>
      <c r="W59" s="32">
        <v>0</v>
      </c>
      <c r="X59" s="31">
        <v>23.6</v>
      </c>
      <c r="Y59" s="32">
        <v>23.6</v>
      </c>
      <c r="Z59" s="31">
        <v>0</v>
      </c>
      <c r="AA59" s="33">
        <v>14</v>
      </c>
      <c r="AC59"/>
      <c r="AD59"/>
    </row>
    <row r="60" spans="1:30" s="17" customFormat="1" ht="12.75" customHeight="1">
      <c r="A60" s="47"/>
      <c r="B60" s="48"/>
      <c r="C60" s="48"/>
      <c r="D60" s="49"/>
      <c r="E60" s="50"/>
      <c r="F60" s="50"/>
      <c r="G60" s="50"/>
      <c r="H60" s="50"/>
      <c r="I60" s="19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1"/>
      <c r="AC60" s="181"/>
    </row>
    <row r="61" spans="1:30" ht="15.75">
      <c r="A61" s="7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9"/>
      <c r="AC61" s="181"/>
    </row>
    <row r="62" spans="1:30" ht="15.75">
      <c r="A62" s="183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9"/>
      <c r="AC62" s="181"/>
    </row>
    <row r="63" spans="1:30" ht="33" customHeight="1">
      <c r="A63" s="53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C63" s="181"/>
    </row>
    <row r="64" spans="1:30" ht="15.75">
      <c r="A64" s="53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9" t="str">
        <f>AA1</f>
        <v>Édition du 22 juillet 2025 N°7/2025</v>
      </c>
      <c r="AC64" s="181"/>
    </row>
    <row r="65" spans="1:30" s="54" customFormat="1" ht="27" customHeight="1">
      <c r="A65" s="209" t="s">
        <v>22</v>
      </c>
      <c r="B65" s="209"/>
      <c r="C65" s="209"/>
      <c r="D65" s="209"/>
      <c r="E65" s="209"/>
      <c r="F65" s="209"/>
      <c r="G65" s="209"/>
      <c r="H65" s="209"/>
      <c r="I65" s="209"/>
      <c r="J65" s="209"/>
      <c r="K65" s="209"/>
      <c r="L65" s="209"/>
      <c r="M65" s="209"/>
      <c r="N65" s="209"/>
      <c r="O65" s="209"/>
      <c r="P65" s="209"/>
      <c r="Q65" s="209"/>
      <c r="R65" s="209"/>
      <c r="S65" s="209"/>
      <c r="T65" s="209"/>
      <c r="U65" s="209"/>
      <c r="V65" s="209"/>
      <c r="W65" s="209"/>
      <c r="X65" s="209"/>
      <c r="Y65" s="209"/>
      <c r="Z65" s="209"/>
      <c r="AA65" s="209"/>
      <c r="AC65" s="181"/>
    </row>
    <row r="66" spans="1:30" ht="8.25" customHeight="1">
      <c r="A66" s="53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9"/>
      <c r="AC66" s="181"/>
    </row>
    <row r="67" spans="1:30" ht="25.5" customHeight="1">
      <c r="A67" s="205" t="s">
        <v>0</v>
      </c>
      <c r="B67" s="205"/>
      <c r="C67" s="205"/>
      <c r="D67" s="205"/>
      <c r="E67" s="205"/>
      <c r="F67" s="205"/>
      <c r="G67" s="205"/>
      <c r="H67" s="205"/>
      <c r="I67" s="205"/>
      <c r="J67" s="205"/>
      <c r="K67" s="205"/>
      <c r="L67" s="205"/>
      <c r="M67" s="205"/>
      <c r="N67" s="205"/>
      <c r="O67" s="205"/>
      <c r="P67" s="205"/>
      <c r="Q67" s="205"/>
      <c r="R67" s="205"/>
      <c r="S67" s="205"/>
      <c r="T67" s="205"/>
      <c r="U67" s="205"/>
      <c r="V67" s="205"/>
      <c r="W67" s="205"/>
      <c r="X67" s="205"/>
      <c r="Y67" s="205"/>
      <c r="Z67" s="205"/>
      <c r="AA67" s="205"/>
    </row>
    <row r="68" spans="1:30" ht="25.5" customHeight="1">
      <c r="A68" s="208" t="s">
        <v>168</v>
      </c>
      <c r="B68" s="189"/>
      <c r="C68" s="189"/>
      <c r="D68" s="189"/>
      <c r="E68" s="189"/>
      <c r="F68" s="189"/>
      <c r="G68" s="189"/>
      <c r="H68" s="189"/>
      <c r="I68" s="189"/>
      <c r="J68" s="189"/>
      <c r="K68" s="189"/>
      <c r="L68" s="189"/>
      <c r="M68" s="189"/>
      <c r="N68" s="189"/>
      <c r="O68" s="189"/>
      <c r="P68" s="189"/>
      <c r="Q68" s="189"/>
      <c r="R68" s="189"/>
      <c r="S68" s="189"/>
      <c r="T68" s="189"/>
      <c r="U68" s="189"/>
      <c r="V68" s="189"/>
      <c r="W68" s="189"/>
      <c r="X68" s="189"/>
      <c r="Y68" s="189"/>
      <c r="Z68" s="189"/>
      <c r="AA68" s="189"/>
    </row>
    <row r="69" spans="1:30" ht="6" customHeight="1">
      <c r="A69" s="53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5"/>
    </row>
    <row r="70" spans="1:30" s="14" customFormat="1" ht="21">
      <c r="A70" s="206" t="str">
        <f>A9</f>
        <v xml:space="preserve">Mois de juillet 2025 (Mois t) </v>
      </c>
      <c r="B70" s="207"/>
      <c r="C70" s="207"/>
      <c r="D70" s="207"/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7"/>
      <c r="P70" s="207"/>
      <c r="Q70" s="207"/>
      <c r="R70" s="207"/>
      <c r="S70" s="207"/>
      <c r="T70" s="207"/>
      <c r="U70" s="207"/>
      <c r="V70" s="207"/>
      <c r="W70" s="207"/>
      <c r="X70" s="207"/>
      <c r="Y70" s="207"/>
      <c r="Z70" s="207"/>
      <c r="AA70" s="207"/>
    </row>
    <row r="71" spans="1:30" ht="7.5" customHeight="1">
      <c r="A71" s="15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</row>
    <row r="72" spans="1:30" ht="15.75">
      <c r="A72" s="204" t="s">
        <v>1</v>
      </c>
      <c r="B72" s="204"/>
      <c r="C72" s="204"/>
      <c r="D72" s="204"/>
      <c r="E72" s="204"/>
      <c r="F72" s="204"/>
      <c r="G72" s="204"/>
      <c r="H72" s="204"/>
      <c r="I72" s="204"/>
      <c r="J72" s="204"/>
      <c r="K72" s="204"/>
      <c r="L72" s="204"/>
      <c r="M72" s="204"/>
      <c r="N72" s="204"/>
      <c r="O72" s="204"/>
      <c r="P72" s="204"/>
      <c r="Q72" s="204"/>
      <c r="R72" s="204"/>
      <c r="S72" s="204"/>
      <c r="T72" s="204"/>
      <c r="U72" s="204"/>
      <c r="V72" s="204"/>
      <c r="W72" s="204"/>
      <c r="X72" s="204"/>
      <c r="Y72" s="204"/>
      <c r="Z72" s="204"/>
      <c r="AA72" s="204"/>
    </row>
    <row r="73" spans="1:30" ht="6" customHeight="1"/>
    <row r="74" spans="1:30" s="17" customFormat="1" ht="87" customHeight="1">
      <c r="A74" s="195" t="s">
        <v>2</v>
      </c>
      <c r="B74" s="193" t="s">
        <v>3</v>
      </c>
      <c r="C74" s="194"/>
      <c r="D74" s="193" t="s">
        <v>62</v>
      </c>
      <c r="E74" s="194"/>
      <c r="F74" s="193" t="s">
        <v>63</v>
      </c>
      <c r="G74" s="194"/>
      <c r="H74" s="193" t="s">
        <v>4</v>
      </c>
      <c r="I74" s="194"/>
      <c r="J74" s="193" t="s">
        <v>64</v>
      </c>
      <c r="K74" s="198"/>
      <c r="L74" s="199" t="s">
        <v>65</v>
      </c>
      <c r="M74" s="194"/>
      <c r="N74" s="193" t="s">
        <v>5</v>
      </c>
      <c r="O74" s="194"/>
      <c r="P74" s="193" t="s">
        <v>6</v>
      </c>
      <c r="Q74" s="194"/>
      <c r="R74" s="193" t="s">
        <v>7</v>
      </c>
      <c r="S74" s="194"/>
      <c r="T74" s="193" t="s">
        <v>66</v>
      </c>
      <c r="U74" s="194"/>
      <c r="V74" s="193" t="s">
        <v>67</v>
      </c>
      <c r="W74" s="194"/>
      <c r="X74" s="193" t="s">
        <v>68</v>
      </c>
      <c r="Y74" s="194"/>
      <c r="Z74" s="193" t="s">
        <v>69</v>
      </c>
      <c r="AA74" s="194"/>
    </row>
    <row r="75" spans="1:30" s="17" customFormat="1" ht="12.75" customHeight="1">
      <c r="A75" s="196"/>
      <c r="B75" s="56" t="s">
        <v>8</v>
      </c>
      <c r="C75" s="57" t="s">
        <v>8</v>
      </c>
      <c r="D75" s="57" t="s">
        <v>8</v>
      </c>
      <c r="E75" s="57" t="s">
        <v>8</v>
      </c>
      <c r="F75" s="57" t="s">
        <v>8</v>
      </c>
      <c r="G75" s="57" t="s">
        <v>8</v>
      </c>
      <c r="H75" s="57" t="s">
        <v>8</v>
      </c>
      <c r="I75" s="57" t="s">
        <v>8</v>
      </c>
      <c r="J75" s="57" t="s">
        <v>8</v>
      </c>
      <c r="K75" s="57" t="s">
        <v>8</v>
      </c>
      <c r="L75" s="57" t="s">
        <v>8</v>
      </c>
      <c r="M75" s="57" t="s">
        <v>8</v>
      </c>
      <c r="N75" s="57" t="s">
        <v>8</v>
      </c>
      <c r="O75" s="57" t="s">
        <v>8</v>
      </c>
      <c r="P75" s="57" t="s">
        <v>8</v>
      </c>
      <c r="Q75" s="57" t="s">
        <v>8</v>
      </c>
      <c r="R75" s="57" t="s">
        <v>8</v>
      </c>
      <c r="S75" s="57" t="s">
        <v>8</v>
      </c>
      <c r="T75" s="57" t="s">
        <v>8</v>
      </c>
      <c r="U75" s="57" t="s">
        <v>8</v>
      </c>
      <c r="V75" s="57" t="s">
        <v>8</v>
      </c>
      <c r="W75" s="57" t="s">
        <v>8</v>
      </c>
      <c r="X75" s="57" t="s">
        <v>8</v>
      </c>
      <c r="Y75" s="57" t="s">
        <v>8</v>
      </c>
      <c r="Z75" s="57" t="s">
        <v>8</v>
      </c>
      <c r="AA75" s="57" t="s">
        <v>8</v>
      </c>
    </row>
    <row r="76" spans="1:30" s="17" customFormat="1" ht="12.75" customHeight="1">
      <c r="A76" s="197"/>
      <c r="B76" s="22" t="s">
        <v>9</v>
      </c>
      <c r="C76" s="22" t="s">
        <v>10</v>
      </c>
      <c r="D76" s="22" t="s">
        <v>9</v>
      </c>
      <c r="E76" s="22" t="s">
        <v>10</v>
      </c>
      <c r="F76" s="22" t="s">
        <v>9</v>
      </c>
      <c r="G76" s="22" t="s">
        <v>10</v>
      </c>
      <c r="H76" s="22" t="s">
        <v>9</v>
      </c>
      <c r="I76" s="22" t="s">
        <v>10</v>
      </c>
      <c r="J76" s="22" t="s">
        <v>9</v>
      </c>
      <c r="K76" s="22" t="s">
        <v>10</v>
      </c>
      <c r="L76" s="22" t="s">
        <v>9</v>
      </c>
      <c r="M76" s="22" t="s">
        <v>10</v>
      </c>
      <c r="N76" s="22" t="s">
        <v>9</v>
      </c>
      <c r="O76" s="22" t="s">
        <v>10</v>
      </c>
      <c r="P76" s="22" t="s">
        <v>9</v>
      </c>
      <c r="Q76" s="22" t="s">
        <v>10</v>
      </c>
      <c r="R76" s="22" t="s">
        <v>9</v>
      </c>
      <c r="S76" s="22" t="s">
        <v>10</v>
      </c>
      <c r="T76" s="22" t="s">
        <v>9</v>
      </c>
      <c r="U76" s="22" t="s">
        <v>10</v>
      </c>
      <c r="V76" s="22" t="s">
        <v>9</v>
      </c>
      <c r="W76" s="22" t="s">
        <v>10</v>
      </c>
      <c r="X76" s="22" t="s">
        <v>9</v>
      </c>
      <c r="Y76" s="22" t="s">
        <v>10</v>
      </c>
      <c r="Z76" s="22" t="s">
        <v>9</v>
      </c>
      <c r="AA76" s="22" t="s">
        <v>10</v>
      </c>
    </row>
    <row r="77" spans="1:30" s="17" customFormat="1" ht="13.5" customHeight="1">
      <c r="A77" s="23"/>
      <c r="AA77" s="58"/>
    </row>
    <row r="78" spans="1:30" s="17" customFormat="1" ht="15.75">
      <c r="A78" s="27" t="s">
        <v>34</v>
      </c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2"/>
      <c r="AC78"/>
      <c r="AD78"/>
    </row>
    <row r="79" spans="1:30" s="17" customFormat="1" ht="9" customHeight="1">
      <c r="A79" s="23"/>
      <c r="B79" s="35"/>
      <c r="C79" s="35"/>
      <c r="D79" s="35"/>
      <c r="E79" s="36"/>
      <c r="F79" s="35"/>
      <c r="G79" s="36"/>
      <c r="H79" s="35"/>
      <c r="I79" s="35"/>
      <c r="J79" s="35"/>
      <c r="K79" s="35"/>
      <c r="L79" s="35"/>
      <c r="M79" s="35"/>
      <c r="N79" s="35"/>
      <c r="O79" s="35"/>
      <c r="P79" s="35"/>
      <c r="Q79" s="36"/>
      <c r="R79" s="35"/>
      <c r="S79" s="36"/>
      <c r="T79" s="35"/>
      <c r="U79" s="36"/>
      <c r="V79" s="36"/>
      <c r="W79" s="36"/>
      <c r="X79" s="36"/>
      <c r="Y79" s="36"/>
      <c r="Z79" s="35"/>
      <c r="AA79" s="44"/>
      <c r="AC79"/>
      <c r="AD79"/>
    </row>
    <row r="80" spans="1:30" s="17" customFormat="1" ht="12.75" customHeight="1">
      <c r="A80" s="30" t="s">
        <v>30</v>
      </c>
      <c r="B80" s="31">
        <v>20.700000000000003</v>
      </c>
      <c r="C80" s="32">
        <v>16.2</v>
      </c>
      <c r="D80" s="31">
        <v>21.599999999999994</v>
      </c>
      <c r="E80" s="32">
        <v>18.099999999999994</v>
      </c>
      <c r="F80" s="31">
        <v>0</v>
      </c>
      <c r="G80" s="32">
        <v>0</v>
      </c>
      <c r="H80" s="31">
        <v>89.5</v>
      </c>
      <c r="I80" s="33">
        <v>4.2999999999999972</v>
      </c>
      <c r="J80" s="31">
        <v>0</v>
      </c>
      <c r="K80" s="33">
        <v>0</v>
      </c>
      <c r="L80" s="31">
        <v>21.699999999999989</v>
      </c>
      <c r="M80" s="33">
        <v>16.599999999999994</v>
      </c>
      <c r="N80" s="31">
        <v>12.299999999999997</v>
      </c>
      <c r="O80" s="33">
        <v>12.199999999999989</v>
      </c>
      <c r="P80" s="31">
        <v>31.899999999999991</v>
      </c>
      <c r="Q80" s="32">
        <v>31.899999999999991</v>
      </c>
      <c r="R80" s="31">
        <v>6.1999999999999886</v>
      </c>
      <c r="S80" s="32">
        <v>6.1999999999999886</v>
      </c>
      <c r="T80" s="31">
        <v>0</v>
      </c>
      <c r="U80" s="32">
        <v>0</v>
      </c>
      <c r="V80" s="46">
        <v>19.799999999999997</v>
      </c>
      <c r="W80" s="32">
        <v>19.799999999999997</v>
      </c>
      <c r="X80" s="46">
        <v>35.899999999999991</v>
      </c>
      <c r="Y80" s="32">
        <v>36</v>
      </c>
      <c r="Z80" s="31">
        <v>43.9</v>
      </c>
      <c r="AA80" s="33">
        <v>53.9</v>
      </c>
      <c r="AC80"/>
      <c r="AD80"/>
    </row>
    <row r="81" spans="1:30" s="17" customFormat="1" ht="12.75" customHeight="1">
      <c r="A81" s="30" t="s">
        <v>31</v>
      </c>
      <c r="B81" s="31">
        <v>69.400000000000006</v>
      </c>
      <c r="C81" s="32">
        <v>72.2</v>
      </c>
      <c r="D81" s="31">
        <v>71.600000000000009</v>
      </c>
      <c r="E81" s="32">
        <v>69.100000000000009</v>
      </c>
      <c r="F81" s="31">
        <v>100</v>
      </c>
      <c r="G81" s="32">
        <v>98.100000000000009</v>
      </c>
      <c r="H81" s="31">
        <v>10.5</v>
      </c>
      <c r="I81" s="33">
        <v>95.7</v>
      </c>
      <c r="J81" s="31">
        <v>100</v>
      </c>
      <c r="K81" s="33">
        <v>100</v>
      </c>
      <c r="L81" s="31">
        <v>58.1</v>
      </c>
      <c r="M81" s="33">
        <v>83.4</v>
      </c>
      <c r="N81" s="31">
        <v>78</v>
      </c>
      <c r="O81" s="33">
        <v>78.2</v>
      </c>
      <c r="P81" s="31">
        <v>65.100000000000009</v>
      </c>
      <c r="Q81" s="32">
        <v>65.100000000000009</v>
      </c>
      <c r="R81" s="31">
        <v>90.300000000000011</v>
      </c>
      <c r="S81" s="32">
        <v>85.300000000000011</v>
      </c>
      <c r="T81" s="31">
        <v>85.800000000000011</v>
      </c>
      <c r="U81" s="32">
        <v>93.7</v>
      </c>
      <c r="V81" s="46">
        <v>80.2</v>
      </c>
      <c r="W81" s="32">
        <v>80.2</v>
      </c>
      <c r="X81" s="46">
        <v>29.5</v>
      </c>
      <c r="Y81" s="32">
        <v>29.5</v>
      </c>
      <c r="Z81" s="31">
        <v>56.1</v>
      </c>
      <c r="AA81" s="33">
        <v>21.900000000000002</v>
      </c>
      <c r="AC81"/>
      <c r="AD81"/>
    </row>
    <row r="82" spans="1:30" s="17" customFormat="1" ht="12.75" customHeight="1">
      <c r="A82" s="30" t="s">
        <v>32</v>
      </c>
      <c r="B82" s="31">
        <v>9.9</v>
      </c>
      <c r="C82" s="32">
        <v>11.600000000000001</v>
      </c>
      <c r="D82" s="31">
        <v>6.8000000000000007</v>
      </c>
      <c r="E82" s="32">
        <v>12.8</v>
      </c>
      <c r="F82" s="31">
        <v>0</v>
      </c>
      <c r="G82" s="32">
        <v>1.9000000000000001</v>
      </c>
      <c r="H82" s="31">
        <v>0</v>
      </c>
      <c r="I82" s="33">
        <v>0</v>
      </c>
      <c r="J82" s="31">
        <v>0</v>
      </c>
      <c r="K82" s="33">
        <v>0</v>
      </c>
      <c r="L82" s="31">
        <v>20.200000000000003</v>
      </c>
      <c r="M82" s="33">
        <v>0</v>
      </c>
      <c r="N82" s="31">
        <v>9.7000000000000011</v>
      </c>
      <c r="O82" s="33">
        <v>9.6000000000000014</v>
      </c>
      <c r="P82" s="31">
        <v>3</v>
      </c>
      <c r="Q82" s="32">
        <v>3</v>
      </c>
      <c r="R82" s="31">
        <v>3.5</v>
      </c>
      <c r="S82" s="32">
        <v>8.5</v>
      </c>
      <c r="T82" s="31">
        <v>14.200000000000001</v>
      </c>
      <c r="U82" s="32">
        <v>6.3000000000000007</v>
      </c>
      <c r="V82" s="46">
        <v>0</v>
      </c>
      <c r="W82" s="32">
        <v>0</v>
      </c>
      <c r="X82" s="46">
        <v>34.6</v>
      </c>
      <c r="Y82" s="32">
        <v>34.5</v>
      </c>
      <c r="Z82" s="31">
        <v>0</v>
      </c>
      <c r="AA82" s="33">
        <v>24.200000000000003</v>
      </c>
      <c r="AC82"/>
      <c r="AD82"/>
    </row>
    <row r="83" spans="1:30" s="17" customFormat="1" ht="13.5" customHeight="1">
      <c r="A83" s="23"/>
      <c r="AA83" s="58"/>
    </row>
    <row r="84" spans="1:30" s="17" customFormat="1" ht="15.75">
      <c r="A84" s="59" t="s">
        <v>167</v>
      </c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1"/>
    </row>
    <row r="85" spans="1:30" s="17" customFormat="1" ht="9" customHeight="1">
      <c r="A85" s="45"/>
      <c r="B85" s="60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2"/>
    </row>
    <row r="86" spans="1:30" s="17" customFormat="1" ht="12.75" customHeight="1">
      <c r="A86" s="30" t="s">
        <v>35</v>
      </c>
      <c r="B86" s="31">
        <v>9.6000000000000014</v>
      </c>
      <c r="C86" s="32">
        <v>10.8</v>
      </c>
      <c r="D86" s="46">
        <v>26.200000000000003</v>
      </c>
      <c r="E86" s="32">
        <v>25.8</v>
      </c>
      <c r="F86" s="46">
        <v>0</v>
      </c>
      <c r="G86" s="32">
        <v>0</v>
      </c>
      <c r="H86" s="46">
        <v>5.1000000000000005</v>
      </c>
      <c r="I86" s="32">
        <v>5.1000000000000005</v>
      </c>
      <c r="J86" s="46">
        <v>75.8</v>
      </c>
      <c r="K86" s="32">
        <v>69.8</v>
      </c>
      <c r="L86" s="46">
        <v>62.800000000000004</v>
      </c>
      <c r="M86" s="32">
        <v>23</v>
      </c>
      <c r="N86" s="46">
        <v>2</v>
      </c>
      <c r="O86" s="32">
        <v>2</v>
      </c>
      <c r="P86" s="46">
        <v>4.1000000000000005</v>
      </c>
      <c r="Q86" s="32">
        <v>18.8</v>
      </c>
      <c r="R86" s="46">
        <v>2.2000000000000002</v>
      </c>
      <c r="S86" s="32">
        <v>2.3000000000000003</v>
      </c>
      <c r="T86" s="46">
        <v>12.600000000000001</v>
      </c>
      <c r="U86" s="32">
        <v>18.100000000000001</v>
      </c>
      <c r="V86" s="46">
        <v>5.2</v>
      </c>
      <c r="W86" s="33">
        <v>40.5</v>
      </c>
      <c r="X86" s="46">
        <v>2.3000000000000003</v>
      </c>
      <c r="Y86" s="32">
        <v>3.4000000000000004</v>
      </c>
      <c r="Z86" s="46">
        <v>12.200000000000001</v>
      </c>
      <c r="AA86" s="32">
        <v>16.600000000000001</v>
      </c>
    </row>
    <row r="87" spans="1:30" s="17" customFormat="1" ht="12.75" customHeight="1">
      <c r="A87" s="30" t="s">
        <v>44</v>
      </c>
      <c r="B87" s="31"/>
      <c r="C87" s="32"/>
      <c r="D87" s="46"/>
      <c r="E87" s="32"/>
      <c r="F87" s="46"/>
      <c r="G87" s="32"/>
      <c r="H87" s="46"/>
      <c r="I87" s="32"/>
      <c r="J87" s="46"/>
      <c r="K87" s="32"/>
      <c r="L87" s="46"/>
      <c r="M87" s="32"/>
      <c r="N87" s="46"/>
      <c r="O87" s="32"/>
      <c r="P87" s="46"/>
      <c r="Q87" s="32"/>
      <c r="R87" s="46"/>
      <c r="S87" s="32"/>
      <c r="T87" s="46"/>
      <c r="U87" s="32"/>
      <c r="V87" s="46"/>
      <c r="W87" s="33"/>
      <c r="X87" s="46"/>
      <c r="Y87" s="32"/>
      <c r="Z87" s="46"/>
      <c r="AA87" s="32"/>
    </row>
    <row r="88" spans="1:30" s="17" customFormat="1" ht="12.75" customHeight="1">
      <c r="A88" s="30" t="s">
        <v>46</v>
      </c>
      <c r="B88" s="31">
        <v>49</v>
      </c>
      <c r="C88" s="32">
        <v>50</v>
      </c>
      <c r="D88" s="46">
        <v>9.9</v>
      </c>
      <c r="E88" s="32">
        <v>30.3</v>
      </c>
      <c r="F88" s="46">
        <v>98.100000000000009</v>
      </c>
      <c r="G88" s="32">
        <v>98.100000000000009</v>
      </c>
      <c r="H88" s="46">
        <v>89.5</v>
      </c>
      <c r="I88" s="32">
        <v>89.5</v>
      </c>
      <c r="J88" s="46">
        <v>24.200000000000003</v>
      </c>
      <c r="K88" s="32">
        <v>30.200000000000003</v>
      </c>
      <c r="L88" s="46">
        <v>20.6</v>
      </c>
      <c r="M88" s="32">
        <v>40.700000000000003</v>
      </c>
      <c r="N88" s="46">
        <v>68.2</v>
      </c>
      <c r="O88" s="32">
        <v>71.600000000000009</v>
      </c>
      <c r="P88" s="46">
        <v>81.2</v>
      </c>
      <c r="Q88" s="32">
        <v>81.2</v>
      </c>
      <c r="R88" s="46">
        <v>5.7</v>
      </c>
      <c r="S88" s="32">
        <v>7.8000000000000007</v>
      </c>
      <c r="T88" s="46">
        <v>71.3</v>
      </c>
      <c r="U88" s="32">
        <v>71.5</v>
      </c>
      <c r="V88" s="46">
        <v>80.2</v>
      </c>
      <c r="W88" s="33">
        <v>44.900000000000006</v>
      </c>
      <c r="X88" s="46">
        <v>55.400000000000006</v>
      </c>
      <c r="Y88" s="32">
        <v>53</v>
      </c>
      <c r="Z88" s="46">
        <v>44</v>
      </c>
      <c r="AA88" s="32">
        <v>25.200000000000003</v>
      </c>
    </row>
    <row r="89" spans="1:30" s="17" customFormat="1" ht="12.75" customHeight="1">
      <c r="A89" s="30" t="s">
        <v>45</v>
      </c>
      <c r="B89" s="31">
        <v>17.100000000000001</v>
      </c>
      <c r="C89" s="32">
        <v>15.600000000000001</v>
      </c>
      <c r="D89" s="46">
        <v>53.800000000000004</v>
      </c>
      <c r="E89" s="32">
        <v>45.300000000000004</v>
      </c>
      <c r="F89" s="46">
        <v>0</v>
      </c>
      <c r="G89" s="32">
        <v>0</v>
      </c>
      <c r="H89" s="46">
        <v>4.3</v>
      </c>
      <c r="I89" s="32">
        <v>4.3</v>
      </c>
      <c r="J89" s="46">
        <v>0</v>
      </c>
      <c r="K89" s="32">
        <v>0</v>
      </c>
      <c r="L89" s="46">
        <v>16.600000000000001</v>
      </c>
      <c r="M89" s="32">
        <v>16.600000000000001</v>
      </c>
      <c r="N89" s="46">
        <v>13.100000000000001</v>
      </c>
      <c r="O89" s="32">
        <v>3.4000000000000004</v>
      </c>
      <c r="P89" s="46">
        <v>31.900000000000002</v>
      </c>
      <c r="Q89" s="32">
        <v>31.900000000000002</v>
      </c>
      <c r="R89" s="46">
        <v>6.2</v>
      </c>
      <c r="S89" s="32">
        <v>6.2</v>
      </c>
      <c r="T89" s="46">
        <v>34.700000000000003</v>
      </c>
      <c r="U89" s="32">
        <v>34.5</v>
      </c>
      <c r="V89" s="46">
        <v>14.600000000000001</v>
      </c>
      <c r="W89" s="33">
        <v>14.600000000000001</v>
      </c>
      <c r="X89" s="46">
        <v>5.3000000000000007</v>
      </c>
      <c r="Y89" s="32">
        <v>5.3000000000000007</v>
      </c>
      <c r="Z89" s="46">
        <v>53.800000000000004</v>
      </c>
      <c r="AA89" s="32">
        <v>60.900000000000006</v>
      </c>
    </row>
    <row r="90" spans="1:30" s="17" customFormat="1" ht="12.75" customHeight="1">
      <c r="A90" s="30" t="s">
        <v>47</v>
      </c>
      <c r="B90" s="31">
        <v>3.1</v>
      </c>
      <c r="C90" s="32">
        <v>4.1000000000000005</v>
      </c>
      <c r="D90" s="46">
        <v>9.7000000000000011</v>
      </c>
      <c r="E90" s="32">
        <v>0</v>
      </c>
      <c r="F90" s="46">
        <v>0</v>
      </c>
      <c r="G90" s="32">
        <v>0</v>
      </c>
      <c r="H90" s="46">
        <v>0</v>
      </c>
      <c r="I90" s="32">
        <v>0</v>
      </c>
      <c r="J90" s="46">
        <v>0</v>
      </c>
      <c r="K90" s="32">
        <v>0</v>
      </c>
      <c r="L90" s="46">
        <v>16.600000000000001</v>
      </c>
      <c r="M90" s="32">
        <v>16.600000000000001</v>
      </c>
      <c r="N90" s="46">
        <v>3.4000000000000004</v>
      </c>
      <c r="O90" s="32">
        <v>3.4000000000000004</v>
      </c>
      <c r="P90" s="46">
        <v>0</v>
      </c>
      <c r="Q90" s="32">
        <v>0</v>
      </c>
      <c r="R90" s="46">
        <v>0</v>
      </c>
      <c r="S90" s="32">
        <v>2.9000000000000004</v>
      </c>
      <c r="T90" s="46">
        <v>6</v>
      </c>
      <c r="U90" s="32">
        <v>8.9</v>
      </c>
      <c r="V90" s="46">
        <v>0</v>
      </c>
      <c r="W90" s="33">
        <v>0</v>
      </c>
      <c r="X90" s="46">
        <v>5.3000000000000007</v>
      </c>
      <c r="Y90" s="32">
        <v>5.3000000000000007</v>
      </c>
      <c r="Z90" s="46">
        <v>0</v>
      </c>
      <c r="AA90" s="32">
        <v>18.5</v>
      </c>
    </row>
    <row r="91" spans="1:30" s="17" customFormat="1" ht="12.75" customHeight="1">
      <c r="A91" s="30" t="s">
        <v>54</v>
      </c>
      <c r="B91" s="31">
        <v>5.3000000000000007</v>
      </c>
      <c r="C91" s="32">
        <v>6.7</v>
      </c>
      <c r="D91" s="46">
        <v>8.7000000000000011</v>
      </c>
      <c r="E91" s="32">
        <v>14.600000000000001</v>
      </c>
      <c r="F91" s="46">
        <v>1.9000000000000001</v>
      </c>
      <c r="G91" s="32">
        <v>1.9000000000000001</v>
      </c>
      <c r="H91" s="46">
        <v>0</v>
      </c>
      <c r="I91" s="32">
        <v>0</v>
      </c>
      <c r="J91" s="46">
        <v>0</v>
      </c>
      <c r="K91" s="32">
        <v>0</v>
      </c>
      <c r="L91" s="46">
        <v>0</v>
      </c>
      <c r="M91" s="32">
        <v>0</v>
      </c>
      <c r="N91" s="46">
        <v>21.700000000000003</v>
      </c>
      <c r="O91" s="32">
        <v>21.5</v>
      </c>
      <c r="P91" s="46">
        <v>3</v>
      </c>
      <c r="Q91" s="32">
        <v>0</v>
      </c>
      <c r="R91" s="46">
        <v>0</v>
      </c>
      <c r="S91" s="32">
        <v>3.5</v>
      </c>
      <c r="T91" s="46">
        <v>18.400000000000002</v>
      </c>
      <c r="U91" s="32">
        <v>18.7</v>
      </c>
      <c r="V91" s="46">
        <v>0</v>
      </c>
      <c r="W91" s="33">
        <v>10.200000000000001</v>
      </c>
      <c r="X91" s="46">
        <v>0</v>
      </c>
      <c r="Y91" s="32">
        <v>0</v>
      </c>
      <c r="Z91" s="46">
        <v>6.7</v>
      </c>
      <c r="AA91" s="32">
        <v>6.7</v>
      </c>
    </row>
    <row r="92" spans="1:30" s="17" customFormat="1" ht="12.75" customHeight="1">
      <c r="A92" s="30" t="s">
        <v>48</v>
      </c>
      <c r="B92" s="31">
        <v>15.90000156402588</v>
      </c>
      <c r="C92" s="32">
        <v>12.800004692077637</v>
      </c>
      <c r="D92" s="46">
        <v>8.5000000095367447</v>
      </c>
      <c r="E92" s="32">
        <v>5.2400000095367432</v>
      </c>
      <c r="F92" s="46">
        <v>0.37999999523162842</v>
      </c>
      <c r="G92" s="32">
        <v>0.75999999523162853</v>
      </c>
      <c r="H92" s="46">
        <v>1.9400000000000002</v>
      </c>
      <c r="I92" s="32">
        <v>1.9400000000000002</v>
      </c>
      <c r="J92" s="46">
        <v>0.9</v>
      </c>
      <c r="K92" s="32">
        <v>0.9</v>
      </c>
      <c r="L92" s="46">
        <v>4.2799999237060549</v>
      </c>
      <c r="M92" s="32">
        <v>7.2600000762939461</v>
      </c>
      <c r="N92" s="46">
        <v>12.039999847412108</v>
      </c>
      <c r="O92" s="32">
        <v>11.39999984741211</v>
      </c>
      <c r="P92" s="46">
        <v>12.599999923706054</v>
      </c>
      <c r="Q92" s="32">
        <v>9.6399999237060534</v>
      </c>
      <c r="R92" s="46">
        <v>85.900000419616703</v>
      </c>
      <c r="S92" s="32">
        <v>77.300001029968257</v>
      </c>
      <c r="T92" s="46">
        <v>3.2400000000000007</v>
      </c>
      <c r="U92" s="32">
        <v>2.66</v>
      </c>
      <c r="V92" s="46">
        <v>11.780000152587892</v>
      </c>
      <c r="W92" s="33">
        <v>13.519999923706056</v>
      </c>
      <c r="X92" s="46">
        <v>31.699993896484376</v>
      </c>
      <c r="Y92" s="32">
        <v>33.000002441406252</v>
      </c>
      <c r="Z92" s="46">
        <v>1.2399999618530273</v>
      </c>
      <c r="AA92" s="33">
        <v>2.6999999618530275</v>
      </c>
    </row>
    <row r="93" spans="1:30" s="17" customFormat="1" ht="11.45" customHeight="1">
      <c r="A93" s="45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X93" s="31"/>
      <c r="Y93" s="31"/>
      <c r="Z93" s="31"/>
      <c r="AA93" s="33"/>
    </row>
    <row r="94" spans="1:30" s="17" customFormat="1" ht="15.75">
      <c r="A94" s="59" t="s">
        <v>16</v>
      </c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2"/>
    </row>
    <row r="95" spans="1:30" s="17" customFormat="1" ht="9" customHeight="1">
      <c r="A95" s="45"/>
      <c r="B95" s="31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32"/>
    </row>
    <row r="96" spans="1:30" s="17" customFormat="1" ht="12.75" customHeight="1">
      <c r="A96" s="30" t="s">
        <v>17</v>
      </c>
      <c r="B96" s="31">
        <v>25.1</v>
      </c>
      <c r="C96" s="32">
        <v>23.400000000000002</v>
      </c>
      <c r="D96" s="46">
        <v>11.399999999999991</v>
      </c>
      <c r="E96" s="32">
        <v>9.5</v>
      </c>
      <c r="F96" s="46">
        <v>0</v>
      </c>
      <c r="G96" s="32">
        <v>0</v>
      </c>
      <c r="H96" s="46">
        <v>85.2</v>
      </c>
      <c r="I96" s="32">
        <v>85.2</v>
      </c>
      <c r="J96" s="46">
        <v>19.699999999999989</v>
      </c>
      <c r="K96" s="32">
        <v>0</v>
      </c>
      <c r="L96" s="46">
        <v>10.699999999999989</v>
      </c>
      <c r="M96" s="32">
        <v>16.599999999999994</v>
      </c>
      <c r="N96" s="46">
        <v>55.099999999999994</v>
      </c>
      <c r="O96" s="32">
        <v>67.199999999999989</v>
      </c>
      <c r="P96" s="46">
        <v>42.199999999999996</v>
      </c>
      <c r="Q96" s="32">
        <v>42.199999999999996</v>
      </c>
      <c r="R96" s="46">
        <v>2.0999999999999943</v>
      </c>
      <c r="S96" s="32">
        <v>7.8999999999999915</v>
      </c>
      <c r="T96" s="46">
        <v>22.5</v>
      </c>
      <c r="U96" s="32">
        <v>18.799999999999997</v>
      </c>
      <c r="V96" s="46">
        <v>14.599999999999994</v>
      </c>
      <c r="W96" s="32">
        <v>23.299999999999997</v>
      </c>
      <c r="X96" s="46">
        <v>37.799999999999997</v>
      </c>
      <c r="Y96" s="32">
        <v>15</v>
      </c>
      <c r="Z96" s="46">
        <v>24.700000000000003</v>
      </c>
      <c r="AA96" s="32">
        <v>19.799999999999997</v>
      </c>
    </row>
    <row r="97" spans="1:27" s="17" customFormat="1" ht="12.75" customHeight="1">
      <c r="A97" s="30" t="s">
        <v>18</v>
      </c>
      <c r="B97" s="31">
        <v>72</v>
      </c>
      <c r="C97" s="32">
        <v>70.2</v>
      </c>
      <c r="D97" s="46">
        <v>82.100000000000009</v>
      </c>
      <c r="E97" s="32">
        <v>81.600000000000009</v>
      </c>
      <c r="F97" s="46">
        <v>100</v>
      </c>
      <c r="G97" s="32">
        <v>100</v>
      </c>
      <c r="H97" s="46">
        <v>6.9</v>
      </c>
      <c r="I97" s="32">
        <v>6.9</v>
      </c>
      <c r="J97" s="46">
        <v>80.300000000000011</v>
      </c>
      <c r="K97" s="32">
        <v>85.2</v>
      </c>
      <c r="L97" s="46">
        <v>84.5</v>
      </c>
      <c r="M97" s="32">
        <v>78.600000000000009</v>
      </c>
      <c r="N97" s="46">
        <v>44.900000000000006</v>
      </c>
      <c r="O97" s="32">
        <v>32.800000000000004</v>
      </c>
      <c r="P97" s="46">
        <v>57.800000000000004</v>
      </c>
      <c r="Q97" s="32">
        <v>57.800000000000004</v>
      </c>
      <c r="R97" s="46">
        <v>95</v>
      </c>
      <c r="S97" s="32">
        <v>89.2</v>
      </c>
      <c r="T97" s="46">
        <v>75.5</v>
      </c>
      <c r="U97" s="32">
        <v>72.5</v>
      </c>
      <c r="V97" s="46">
        <v>85.4</v>
      </c>
      <c r="W97" s="32">
        <v>76.7</v>
      </c>
      <c r="X97" s="46">
        <v>62.2</v>
      </c>
      <c r="Y97" s="32">
        <v>63.7</v>
      </c>
      <c r="Z97" s="46">
        <v>56.800000000000004</v>
      </c>
      <c r="AA97" s="32">
        <v>80.2</v>
      </c>
    </row>
    <row r="98" spans="1:27" s="17" customFormat="1" ht="12.75" customHeight="1">
      <c r="A98" s="30" t="s">
        <v>19</v>
      </c>
      <c r="B98" s="31">
        <v>2.9000000000000004</v>
      </c>
      <c r="C98" s="32">
        <v>6.3000000000000007</v>
      </c>
      <c r="D98" s="46">
        <v>6.5</v>
      </c>
      <c r="E98" s="32">
        <v>8.9</v>
      </c>
      <c r="F98" s="46">
        <v>0</v>
      </c>
      <c r="G98" s="32">
        <v>0</v>
      </c>
      <c r="H98" s="46">
        <v>7.9</v>
      </c>
      <c r="I98" s="32">
        <v>7.9</v>
      </c>
      <c r="J98" s="46">
        <v>0</v>
      </c>
      <c r="K98" s="32">
        <v>14.8</v>
      </c>
      <c r="L98" s="46">
        <v>4.8000000000000007</v>
      </c>
      <c r="M98" s="32">
        <v>4.8000000000000007</v>
      </c>
      <c r="N98" s="46">
        <v>0</v>
      </c>
      <c r="O98" s="32">
        <v>0</v>
      </c>
      <c r="P98" s="46">
        <v>0</v>
      </c>
      <c r="Q98" s="32">
        <v>0</v>
      </c>
      <c r="R98" s="46">
        <v>2.9000000000000004</v>
      </c>
      <c r="S98" s="32">
        <v>2.9000000000000004</v>
      </c>
      <c r="T98" s="46">
        <v>2</v>
      </c>
      <c r="U98" s="32">
        <v>8.7000000000000011</v>
      </c>
      <c r="V98" s="46">
        <v>0</v>
      </c>
      <c r="W98" s="32">
        <v>0</v>
      </c>
      <c r="X98" s="46">
        <v>0</v>
      </c>
      <c r="Y98" s="32">
        <v>21.3</v>
      </c>
      <c r="Z98" s="46">
        <v>18.5</v>
      </c>
      <c r="AA98" s="32">
        <v>0</v>
      </c>
    </row>
    <row r="99" spans="1:27" s="17" customFormat="1" ht="11.45" customHeight="1">
      <c r="A99" s="45"/>
      <c r="B99" s="31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32"/>
    </row>
    <row r="100" spans="1:27" s="17" customFormat="1" ht="15.75">
      <c r="A100" s="59" t="s">
        <v>20</v>
      </c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63"/>
    </row>
    <row r="101" spans="1:27" s="17" customFormat="1" ht="9" customHeight="1">
      <c r="A101" s="45"/>
      <c r="B101" s="31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32"/>
    </row>
    <row r="102" spans="1:27" s="17" customFormat="1" ht="12.75" customHeight="1">
      <c r="A102" s="30" t="s">
        <v>49</v>
      </c>
      <c r="B102" s="64">
        <v>5.2</v>
      </c>
      <c r="C102" s="65">
        <v>5.2</v>
      </c>
      <c r="D102" s="66">
        <v>6.9</v>
      </c>
      <c r="E102" s="65">
        <v>6.9</v>
      </c>
      <c r="F102" s="66">
        <v>12</v>
      </c>
      <c r="G102" s="65">
        <v>12</v>
      </c>
      <c r="H102" s="66">
        <v>1.7000000000000002</v>
      </c>
      <c r="I102" s="65">
        <v>3.4000000000000004</v>
      </c>
      <c r="J102" s="66">
        <v>2.7</v>
      </c>
      <c r="K102" s="65">
        <v>3.2</v>
      </c>
      <c r="L102" s="66">
        <v>4.1000000000000005</v>
      </c>
      <c r="M102" s="65">
        <v>3.7</v>
      </c>
      <c r="N102" s="66">
        <v>4.7</v>
      </c>
      <c r="O102" s="65">
        <v>4.4000000000000004</v>
      </c>
      <c r="P102" s="66">
        <v>7.2</v>
      </c>
      <c r="Q102" s="65">
        <v>7.4</v>
      </c>
      <c r="R102" s="66">
        <v>2.1</v>
      </c>
      <c r="S102" s="65">
        <v>2.1</v>
      </c>
      <c r="T102" s="66">
        <v>4</v>
      </c>
      <c r="U102" s="65">
        <v>4.2</v>
      </c>
      <c r="V102" s="66">
        <v>7.3000000000000007</v>
      </c>
      <c r="W102" s="65">
        <v>9.3000000000000007</v>
      </c>
      <c r="X102" s="66">
        <v>5.9</v>
      </c>
      <c r="Y102" s="65">
        <v>4.9000000000000004</v>
      </c>
      <c r="Z102" s="66">
        <v>5.6000000000000005</v>
      </c>
      <c r="AA102" s="65">
        <v>5.7</v>
      </c>
    </row>
    <row r="103" spans="1:27" s="17" customFormat="1" ht="11.45" customHeight="1">
      <c r="A103" s="45"/>
      <c r="B103" s="31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32"/>
    </row>
    <row r="104" spans="1:27" s="17" customFormat="1" ht="15.75">
      <c r="A104" s="59" t="s">
        <v>36</v>
      </c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63"/>
    </row>
    <row r="105" spans="1:27" s="17" customFormat="1" ht="9" customHeight="1">
      <c r="A105" s="45"/>
      <c r="B105" s="31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32"/>
    </row>
    <row r="106" spans="1:27" s="17" customFormat="1" ht="12.75" customHeight="1">
      <c r="A106" s="30" t="s">
        <v>37</v>
      </c>
      <c r="B106" s="31">
        <v>14.5</v>
      </c>
      <c r="C106" s="32">
        <v>15.3</v>
      </c>
      <c r="D106" s="46">
        <v>8.7999999999999972</v>
      </c>
      <c r="E106" s="32">
        <v>7.8999999999999915</v>
      </c>
      <c r="F106" s="46">
        <v>1.8999999999999915</v>
      </c>
      <c r="G106" s="32">
        <v>0</v>
      </c>
      <c r="H106" s="46">
        <v>3.5999999999999943</v>
      </c>
      <c r="I106" s="32">
        <v>3.5999999999999943</v>
      </c>
      <c r="J106" s="46">
        <v>0</v>
      </c>
      <c r="K106" s="32">
        <v>11.799999999999997</v>
      </c>
      <c r="L106" s="46">
        <v>16.599999999999994</v>
      </c>
      <c r="M106" s="32">
        <v>4.6999999999999886</v>
      </c>
      <c r="N106" s="46">
        <v>0</v>
      </c>
      <c r="O106" s="32">
        <v>0</v>
      </c>
      <c r="P106" s="46">
        <v>69.3</v>
      </c>
      <c r="Q106" s="32">
        <v>73.3</v>
      </c>
      <c r="R106" s="46">
        <v>9.5999999999999943</v>
      </c>
      <c r="S106" s="32">
        <v>6.0999999999999943</v>
      </c>
      <c r="T106" s="46">
        <v>0</v>
      </c>
      <c r="U106" s="32">
        <v>3</v>
      </c>
      <c r="V106" s="46">
        <v>19.799999999999997</v>
      </c>
      <c r="W106" s="32">
        <v>44.4</v>
      </c>
      <c r="X106" s="46">
        <v>35.899999999999991</v>
      </c>
      <c r="Y106" s="32">
        <v>40.599999999999994</v>
      </c>
      <c r="Z106" s="46">
        <v>0</v>
      </c>
      <c r="AA106" s="32">
        <v>0</v>
      </c>
    </row>
    <row r="107" spans="1:27" s="17" customFormat="1" ht="12.75" customHeight="1">
      <c r="A107" s="30" t="s">
        <v>50</v>
      </c>
      <c r="B107" s="31">
        <v>62.7</v>
      </c>
      <c r="C107" s="32">
        <v>45.2</v>
      </c>
      <c r="D107" s="46">
        <v>84</v>
      </c>
      <c r="E107" s="32">
        <v>70.100000000000009</v>
      </c>
      <c r="F107" s="46">
        <v>98.100000000000009</v>
      </c>
      <c r="G107" s="32">
        <v>98.100000000000009</v>
      </c>
      <c r="H107" s="46">
        <v>5.8000000000000007</v>
      </c>
      <c r="I107" s="32">
        <v>11.200000000000001</v>
      </c>
      <c r="J107" s="46">
        <v>100</v>
      </c>
      <c r="K107" s="32">
        <v>18.400000000000002</v>
      </c>
      <c r="L107" s="46">
        <v>52.5</v>
      </c>
      <c r="M107" s="32">
        <v>65.600000000000009</v>
      </c>
      <c r="N107" s="46">
        <v>60.1</v>
      </c>
      <c r="O107" s="32">
        <v>60.1</v>
      </c>
      <c r="P107" s="46">
        <v>27.700000000000003</v>
      </c>
      <c r="Q107" s="32">
        <v>23.700000000000003</v>
      </c>
      <c r="R107" s="46">
        <v>87.5</v>
      </c>
      <c r="S107" s="32">
        <v>5.8000000000000007</v>
      </c>
      <c r="T107" s="46">
        <v>69.3</v>
      </c>
      <c r="U107" s="32">
        <v>60.400000000000006</v>
      </c>
      <c r="V107" s="46">
        <v>80.2</v>
      </c>
      <c r="W107" s="32">
        <v>46.900000000000006</v>
      </c>
      <c r="X107" s="46">
        <v>10.8</v>
      </c>
      <c r="Y107" s="32">
        <v>41.400000000000006</v>
      </c>
      <c r="Z107" s="46">
        <v>96.9</v>
      </c>
      <c r="AA107" s="32">
        <v>90.2</v>
      </c>
    </row>
    <row r="108" spans="1:27" s="17" customFormat="1" ht="12.75" customHeight="1">
      <c r="A108" s="30" t="s">
        <v>38</v>
      </c>
      <c r="B108" s="31">
        <v>22.700000000000003</v>
      </c>
      <c r="C108" s="32">
        <v>39.5</v>
      </c>
      <c r="D108" s="46">
        <v>7.2</v>
      </c>
      <c r="E108" s="32">
        <v>22</v>
      </c>
      <c r="F108" s="46">
        <v>0</v>
      </c>
      <c r="G108" s="32">
        <v>1.9000000000000001</v>
      </c>
      <c r="H108" s="46">
        <v>90.600000000000009</v>
      </c>
      <c r="I108" s="32">
        <v>85.2</v>
      </c>
      <c r="J108" s="46">
        <v>0</v>
      </c>
      <c r="K108" s="32">
        <v>69.8</v>
      </c>
      <c r="L108" s="46">
        <v>30.900000000000002</v>
      </c>
      <c r="M108" s="32">
        <v>29.700000000000003</v>
      </c>
      <c r="N108" s="46">
        <v>39.900000000000006</v>
      </c>
      <c r="O108" s="32">
        <v>39.900000000000006</v>
      </c>
      <c r="P108" s="46">
        <v>3</v>
      </c>
      <c r="Q108" s="32">
        <v>3</v>
      </c>
      <c r="R108" s="46">
        <v>2.9000000000000004</v>
      </c>
      <c r="S108" s="32">
        <v>88.100000000000009</v>
      </c>
      <c r="T108" s="46">
        <v>30.700000000000003</v>
      </c>
      <c r="U108" s="32">
        <v>36.6</v>
      </c>
      <c r="V108" s="46">
        <v>0</v>
      </c>
      <c r="W108" s="32">
        <v>8.7000000000000011</v>
      </c>
      <c r="X108" s="46">
        <v>53.300000000000004</v>
      </c>
      <c r="Y108" s="32">
        <v>18</v>
      </c>
      <c r="Z108" s="46">
        <v>3.1</v>
      </c>
      <c r="AA108" s="32">
        <v>9.8000000000000007</v>
      </c>
    </row>
    <row r="109" spans="1:27" s="17" customFormat="1" ht="11.45" customHeight="1">
      <c r="A109" s="45"/>
      <c r="B109" s="31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32"/>
    </row>
    <row r="110" spans="1:27" s="17" customFormat="1" ht="15.75">
      <c r="A110" s="59" t="s">
        <v>39</v>
      </c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63"/>
    </row>
    <row r="111" spans="1:27" s="17" customFormat="1" ht="9" customHeight="1">
      <c r="A111" s="45"/>
      <c r="B111" s="31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32"/>
    </row>
    <row r="112" spans="1:27" s="17" customFormat="1" ht="12.75" customHeight="1">
      <c r="A112" s="30" t="s">
        <v>30</v>
      </c>
      <c r="B112" s="31">
        <v>8.9</v>
      </c>
      <c r="C112" s="32">
        <v>9.6000000000000014</v>
      </c>
      <c r="D112" s="46">
        <v>39.699999999999996</v>
      </c>
      <c r="E112" s="32">
        <v>0</v>
      </c>
      <c r="F112" s="46">
        <v>3.8999999999999915</v>
      </c>
      <c r="G112" s="32">
        <v>0</v>
      </c>
      <c r="H112" s="46">
        <v>15.199999999999989</v>
      </c>
      <c r="I112" s="32">
        <v>75.5</v>
      </c>
      <c r="J112" s="46">
        <v>0</v>
      </c>
      <c r="K112" s="32">
        <v>0</v>
      </c>
      <c r="L112" s="46">
        <v>0</v>
      </c>
      <c r="M112" s="32">
        <v>6.7999999999999972</v>
      </c>
      <c r="N112" s="46">
        <v>0</v>
      </c>
      <c r="O112" s="32">
        <v>0</v>
      </c>
      <c r="P112" s="46">
        <v>96.7</v>
      </c>
      <c r="Q112" s="32">
        <v>96.7</v>
      </c>
      <c r="R112" s="46">
        <v>8</v>
      </c>
      <c r="S112" s="32">
        <v>8</v>
      </c>
      <c r="T112" s="46">
        <v>0</v>
      </c>
      <c r="U112" s="32">
        <v>0</v>
      </c>
      <c r="V112" s="46">
        <v>5.0999999999999943</v>
      </c>
      <c r="W112" s="32">
        <v>5.0999999999999943</v>
      </c>
      <c r="X112" s="46">
        <v>0</v>
      </c>
      <c r="Y112" s="32">
        <v>59.3</v>
      </c>
      <c r="Z112" s="46">
        <v>0</v>
      </c>
      <c r="AA112" s="32">
        <v>0</v>
      </c>
    </row>
    <row r="113" spans="1:27" s="17" customFormat="1" ht="12.75" customHeight="1">
      <c r="A113" s="30" t="s">
        <v>31</v>
      </c>
      <c r="B113" s="31">
        <v>18.5</v>
      </c>
      <c r="C113" s="32">
        <v>19</v>
      </c>
      <c r="D113" s="46">
        <v>59.800000000000004</v>
      </c>
      <c r="E113" s="32">
        <v>95.100000000000009</v>
      </c>
      <c r="F113" s="46">
        <v>96.100000000000009</v>
      </c>
      <c r="G113" s="32">
        <v>96.100000000000009</v>
      </c>
      <c r="H113" s="46">
        <v>24.5</v>
      </c>
      <c r="I113" s="32">
        <v>24.5</v>
      </c>
      <c r="J113" s="46">
        <v>100</v>
      </c>
      <c r="K113" s="32">
        <v>5.8000000000000007</v>
      </c>
      <c r="L113" s="46">
        <v>47</v>
      </c>
      <c r="M113" s="32">
        <v>93.2</v>
      </c>
      <c r="N113" s="46">
        <v>0.5</v>
      </c>
      <c r="O113" s="32">
        <v>0.60000000000000009</v>
      </c>
      <c r="P113" s="46">
        <v>3.3000000000000003</v>
      </c>
      <c r="Q113" s="32">
        <v>3.3000000000000003</v>
      </c>
      <c r="R113" s="46">
        <v>7.4</v>
      </c>
      <c r="S113" s="32">
        <v>7.4</v>
      </c>
      <c r="T113" s="46">
        <v>51.900000000000006</v>
      </c>
      <c r="U113" s="32">
        <v>51.300000000000004</v>
      </c>
      <c r="V113" s="46">
        <v>94.9</v>
      </c>
      <c r="W113" s="32">
        <v>94.9</v>
      </c>
      <c r="X113" s="46">
        <v>48.800000000000004</v>
      </c>
      <c r="Y113" s="32">
        <v>11.8</v>
      </c>
      <c r="Z113" s="46">
        <v>54.7</v>
      </c>
      <c r="AA113" s="32">
        <v>45.7</v>
      </c>
    </row>
    <row r="114" spans="1:27" s="17" customFormat="1" ht="12.75" customHeight="1">
      <c r="A114" s="30" t="s">
        <v>32</v>
      </c>
      <c r="B114" s="31">
        <v>72.600000000000009</v>
      </c>
      <c r="C114" s="32">
        <v>71.400000000000006</v>
      </c>
      <c r="D114" s="46">
        <v>0.5</v>
      </c>
      <c r="E114" s="32">
        <v>4.9000000000000004</v>
      </c>
      <c r="F114" s="46">
        <v>0</v>
      </c>
      <c r="G114" s="32">
        <v>3.9000000000000004</v>
      </c>
      <c r="H114" s="46">
        <v>60.300000000000004</v>
      </c>
      <c r="I114" s="32">
        <v>0</v>
      </c>
      <c r="J114" s="46">
        <v>0</v>
      </c>
      <c r="K114" s="32">
        <v>94.2</v>
      </c>
      <c r="L114" s="46">
        <v>53</v>
      </c>
      <c r="M114" s="32">
        <v>0</v>
      </c>
      <c r="N114" s="46">
        <v>99.5</v>
      </c>
      <c r="O114" s="32">
        <v>99.4</v>
      </c>
      <c r="P114" s="46">
        <v>0</v>
      </c>
      <c r="Q114" s="32">
        <v>0</v>
      </c>
      <c r="R114" s="46">
        <v>84.600000000000009</v>
      </c>
      <c r="S114" s="32">
        <v>84.600000000000009</v>
      </c>
      <c r="T114" s="46">
        <v>48.1</v>
      </c>
      <c r="U114" s="32">
        <v>48.7</v>
      </c>
      <c r="V114" s="46">
        <v>0</v>
      </c>
      <c r="W114" s="32">
        <v>0</v>
      </c>
      <c r="X114" s="46">
        <v>51.2</v>
      </c>
      <c r="Y114" s="32">
        <v>28.900000000000002</v>
      </c>
      <c r="Z114" s="46">
        <v>45.300000000000004</v>
      </c>
      <c r="AA114" s="32">
        <v>54.300000000000004</v>
      </c>
    </row>
    <row r="115" spans="1:27" s="17" customFormat="1" ht="11.45" customHeight="1">
      <c r="A115" s="67"/>
      <c r="B115" s="31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32"/>
    </row>
    <row r="116" spans="1:27" s="17" customFormat="1" ht="15.75">
      <c r="A116" s="59" t="s">
        <v>21</v>
      </c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63"/>
    </row>
    <row r="117" spans="1:27" s="17" customFormat="1" ht="9" customHeight="1">
      <c r="A117" s="45"/>
      <c r="B117" s="31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32"/>
    </row>
    <row r="118" spans="1:27" s="17" customFormat="1" ht="12.75" customHeight="1">
      <c r="A118" s="30" t="s">
        <v>51</v>
      </c>
      <c r="B118" s="31">
        <v>80.300000000000011</v>
      </c>
      <c r="C118" s="32">
        <v>79.100000000000009</v>
      </c>
      <c r="D118" s="46">
        <v>82.100000000000009</v>
      </c>
      <c r="E118" s="32">
        <v>78.2</v>
      </c>
      <c r="F118" s="46">
        <v>85</v>
      </c>
      <c r="G118" s="32">
        <v>80</v>
      </c>
      <c r="H118" s="46">
        <v>71.100000000000009</v>
      </c>
      <c r="I118" s="32">
        <v>66.600000000000009</v>
      </c>
      <c r="J118" s="46">
        <v>86.800000000000011</v>
      </c>
      <c r="K118" s="32">
        <v>81.2</v>
      </c>
      <c r="L118" s="46">
        <v>77.400000000000006</v>
      </c>
      <c r="M118" s="32">
        <v>82.5</v>
      </c>
      <c r="N118" s="46">
        <v>78</v>
      </c>
      <c r="O118" s="32">
        <v>80.7</v>
      </c>
      <c r="P118" s="46">
        <v>71.5</v>
      </c>
      <c r="Q118" s="32">
        <v>71.2</v>
      </c>
      <c r="R118" s="46">
        <v>97</v>
      </c>
      <c r="S118" s="32">
        <v>92.9</v>
      </c>
      <c r="T118" s="46">
        <v>75</v>
      </c>
      <c r="U118" s="32">
        <v>76.400000000000006</v>
      </c>
      <c r="V118" s="46">
        <v>74.5</v>
      </c>
      <c r="W118" s="32">
        <v>77.5</v>
      </c>
      <c r="X118" s="46">
        <v>65.8</v>
      </c>
      <c r="Y118" s="32">
        <v>67.900000000000006</v>
      </c>
      <c r="Z118" s="46">
        <v>78.600000000000009</v>
      </c>
      <c r="AA118" s="32">
        <v>75.400000000000006</v>
      </c>
    </row>
    <row r="119" spans="1:27" s="17" customFormat="1" ht="11.45" customHeight="1">
      <c r="A119" s="45"/>
      <c r="B119" s="31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32"/>
    </row>
    <row r="120" spans="1:27" s="17" customFormat="1" ht="15.75">
      <c r="A120" s="59" t="s">
        <v>40</v>
      </c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63"/>
    </row>
    <row r="121" spans="1:27" s="17" customFormat="1" ht="9" customHeight="1">
      <c r="A121" s="45"/>
      <c r="B121" s="31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32"/>
    </row>
    <row r="122" spans="1:27" s="17" customFormat="1" ht="12.75" customHeight="1">
      <c r="A122" s="30" t="s">
        <v>41</v>
      </c>
      <c r="B122" s="31">
        <v>1.2666666507720947</v>
      </c>
      <c r="C122" s="32">
        <v>0.30000001192092896</v>
      </c>
      <c r="D122" s="46">
        <v>1.1666666269302368</v>
      </c>
      <c r="E122" s="32">
        <v>2.5999999046325684</v>
      </c>
      <c r="F122" s="46">
        <v>0</v>
      </c>
      <c r="G122" s="32">
        <v>0</v>
      </c>
      <c r="H122" s="46">
        <v>0</v>
      </c>
      <c r="I122" s="32">
        <v>0</v>
      </c>
      <c r="J122" s="46">
        <v>0</v>
      </c>
      <c r="K122" s="32">
        <v>3.9333333969116211</v>
      </c>
      <c r="L122" s="46">
        <v>0</v>
      </c>
      <c r="M122" s="33">
        <v>0</v>
      </c>
      <c r="N122" s="46">
        <v>4.0999999046325684</v>
      </c>
      <c r="O122" s="32">
        <v>0</v>
      </c>
      <c r="P122" s="46">
        <v>0</v>
      </c>
      <c r="Q122" s="32">
        <v>0</v>
      </c>
      <c r="R122" s="46">
        <v>0</v>
      </c>
      <c r="S122" s="32">
        <v>0</v>
      </c>
      <c r="T122" s="46">
        <v>0</v>
      </c>
      <c r="U122" s="32">
        <v>0</v>
      </c>
      <c r="V122" s="46">
        <v>0</v>
      </c>
      <c r="W122" s="32">
        <v>0</v>
      </c>
      <c r="X122" s="46">
        <v>4.4000000953674316</v>
      </c>
      <c r="Y122" s="32">
        <v>0</v>
      </c>
      <c r="Z122" s="46">
        <v>0</v>
      </c>
      <c r="AA122" s="32">
        <v>0</v>
      </c>
    </row>
    <row r="123" spans="1:27" s="17" customFormat="1" ht="12.75" customHeight="1">
      <c r="A123" s="30" t="s">
        <v>42</v>
      </c>
      <c r="B123" s="31">
        <v>90.433334350585938</v>
      </c>
      <c r="C123" s="32">
        <v>91.5</v>
      </c>
      <c r="D123" s="46">
        <v>90.833335876464844</v>
      </c>
      <c r="E123" s="32">
        <v>82.466667175292969</v>
      </c>
      <c r="F123" s="46">
        <v>100</v>
      </c>
      <c r="G123" s="32">
        <v>100</v>
      </c>
      <c r="H123" s="46">
        <v>97.133331298828125</v>
      </c>
      <c r="I123" s="32">
        <v>97.133331298828125</v>
      </c>
      <c r="J123" s="46">
        <v>100</v>
      </c>
      <c r="K123" s="32">
        <v>59.400001525878906</v>
      </c>
      <c r="L123" s="46">
        <v>93.266670227050781</v>
      </c>
      <c r="M123" s="32">
        <v>90.099998474121094</v>
      </c>
      <c r="N123" s="46">
        <v>89.5</v>
      </c>
      <c r="O123" s="32">
        <v>93.633331298828125</v>
      </c>
      <c r="P123" s="46">
        <v>100</v>
      </c>
      <c r="Q123" s="32">
        <v>97</v>
      </c>
      <c r="R123" s="46">
        <v>96.900001525878906</v>
      </c>
      <c r="S123" s="32">
        <v>95.233329772949219</v>
      </c>
      <c r="T123" s="46">
        <v>78.300003051757813</v>
      </c>
      <c r="U123" s="32">
        <v>81.400001525878906</v>
      </c>
      <c r="V123" s="46">
        <v>100</v>
      </c>
      <c r="W123" s="32">
        <v>94.199996948242188</v>
      </c>
      <c r="X123" s="46">
        <v>72.5</v>
      </c>
      <c r="Y123" s="32">
        <v>90.400001525878906</v>
      </c>
      <c r="Z123" s="46">
        <v>89.933334350585938</v>
      </c>
      <c r="AA123" s="32">
        <v>89.933334350585938</v>
      </c>
    </row>
    <row r="124" spans="1:27" s="17" customFormat="1" ht="12.75" customHeight="1">
      <c r="A124" s="30" t="s">
        <v>43</v>
      </c>
      <c r="B124" s="31">
        <v>8.3333330154418945</v>
      </c>
      <c r="C124" s="32">
        <v>8.1999998092651367</v>
      </c>
      <c r="D124" s="46">
        <v>8</v>
      </c>
      <c r="E124" s="32">
        <v>14.933333396911621</v>
      </c>
      <c r="F124" s="46">
        <v>0</v>
      </c>
      <c r="G124" s="32">
        <v>0</v>
      </c>
      <c r="H124" s="46">
        <v>2.8666665554046631</v>
      </c>
      <c r="I124" s="32">
        <v>2.8666665554046631</v>
      </c>
      <c r="J124" s="46">
        <v>0</v>
      </c>
      <c r="K124" s="32">
        <v>36.666667938232422</v>
      </c>
      <c r="L124" s="46">
        <v>6.7333331108093262</v>
      </c>
      <c r="M124" s="32">
        <v>9.8999996185302734</v>
      </c>
      <c r="N124" s="46">
        <v>6.4000000953674316</v>
      </c>
      <c r="O124" s="32">
        <v>6.3666667938232422</v>
      </c>
      <c r="P124" s="46">
        <v>0</v>
      </c>
      <c r="Q124" s="32">
        <v>3</v>
      </c>
      <c r="R124" s="46">
        <v>3.0999999046325684</v>
      </c>
      <c r="S124" s="32">
        <v>4.7666668891906738</v>
      </c>
      <c r="T124" s="46">
        <v>21.700000762939453</v>
      </c>
      <c r="U124" s="32">
        <v>18.600000381469727</v>
      </c>
      <c r="V124" s="46">
        <v>0</v>
      </c>
      <c r="W124" s="32">
        <v>5.8000001907348633</v>
      </c>
      <c r="X124" s="46">
        <v>23.100000381469727</v>
      </c>
      <c r="Y124" s="32">
        <v>9.6000003814697266</v>
      </c>
      <c r="Z124" s="46">
        <v>10.066666603088379</v>
      </c>
      <c r="AA124" s="32">
        <v>10.066666603088379</v>
      </c>
    </row>
    <row r="125" spans="1:27" ht="4.5" customHeight="1">
      <c r="A125" s="68"/>
      <c r="B125" s="69"/>
      <c r="C125" s="69"/>
      <c r="D125" s="70"/>
      <c r="E125" s="70"/>
      <c r="F125" s="70"/>
      <c r="G125" s="70"/>
      <c r="H125" s="70"/>
      <c r="I125" s="70"/>
      <c r="J125" s="70"/>
      <c r="K125" s="70"/>
      <c r="L125" s="70"/>
      <c r="M125" s="71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2"/>
      <c r="AA125" s="73"/>
    </row>
    <row r="127" spans="1:27" ht="20.100000000000001" customHeight="1">
      <c r="A127" s="74" t="s">
        <v>166</v>
      </c>
      <c r="B127" s="75"/>
      <c r="C127" s="75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7"/>
      <c r="AA127" s="77"/>
    </row>
    <row r="128" spans="1:27">
      <c r="A128" s="76"/>
    </row>
    <row r="129" spans="1:27">
      <c r="A129" s="76"/>
      <c r="B129" s="78"/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  <c r="AA129" s="78"/>
    </row>
    <row r="130" spans="1:27" ht="15.75">
      <c r="A130" s="79"/>
      <c r="B130" s="80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</row>
    <row r="131" spans="1:27">
      <c r="A131" s="76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</row>
    <row r="132" spans="1:27" ht="15.75">
      <c r="A132" s="53"/>
      <c r="Y132" s="81"/>
      <c r="AA132" s="9"/>
    </row>
  </sheetData>
  <mergeCells count="50">
    <mergeCell ref="A4:AA4"/>
    <mergeCell ref="A9:AA9"/>
    <mergeCell ref="A11:AA11"/>
    <mergeCell ref="L13:M13"/>
    <mergeCell ref="N13:O13"/>
    <mergeCell ref="A6:AA6"/>
    <mergeCell ref="A13:A16"/>
    <mergeCell ref="B13:C13"/>
    <mergeCell ref="D13:E13"/>
    <mergeCell ref="F13:G13"/>
    <mergeCell ref="N14:O14"/>
    <mergeCell ref="D14:E14"/>
    <mergeCell ref="V14:W14"/>
    <mergeCell ref="T14:U14"/>
    <mergeCell ref="X14:Y14"/>
    <mergeCell ref="H14:I14"/>
    <mergeCell ref="A72:AA72"/>
    <mergeCell ref="A67:AA67"/>
    <mergeCell ref="A70:AA70"/>
    <mergeCell ref="A68:AA68"/>
    <mergeCell ref="A65:AA65"/>
    <mergeCell ref="J14:K14"/>
    <mergeCell ref="L14:M14"/>
    <mergeCell ref="F14:G14"/>
    <mergeCell ref="R14:S14"/>
    <mergeCell ref="Z14:AA14"/>
    <mergeCell ref="P14:Q14"/>
    <mergeCell ref="Z74:AA74"/>
    <mergeCell ref="N74:O74"/>
    <mergeCell ref="A74:A76"/>
    <mergeCell ref="B74:C74"/>
    <mergeCell ref="D74:E74"/>
    <mergeCell ref="F74:G74"/>
    <mergeCell ref="P74:Q74"/>
    <mergeCell ref="T74:U74"/>
    <mergeCell ref="V74:W74"/>
    <mergeCell ref="X74:Y74"/>
    <mergeCell ref="R74:S74"/>
    <mergeCell ref="H74:I74"/>
    <mergeCell ref="J74:K74"/>
    <mergeCell ref="L74:M74"/>
    <mergeCell ref="A7:AA7"/>
    <mergeCell ref="X13:Y13"/>
    <mergeCell ref="Z13:AA13"/>
    <mergeCell ref="P13:Q13"/>
    <mergeCell ref="R13:S13"/>
    <mergeCell ref="V13:W13"/>
    <mergeCell ref="T13:U13"/>
    <mergeCell ref="H13:I13"/>
    <mergeCell ref="J13:K13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60" fitToHeight="2" orientation="landscape" r:id="rId1"/>
  <headerFooter alignWithMargins="0"/>
  <rowBreaks count="1" manualBreakCount="1">
    <brk id="62" max="2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4"/>
  <sheetViews>
    <sheetView showGridLines="0" topLeftCell="A37" zoomScaleNormal="100" workbookViewId="0">
      <selection activeCell="Q55" sqref="Q55"/>
    </sheetView>
  </sheetViews>
  <sheetFormatPr defaultColWidth="8.85546875" defaultRowHeight="12.75"/>
  <cols>
    <col min="1" max="16384" width="8.85546875" style="1"/>
  </cols>
  <sheetData>
    <row r="1" spans="1:15">
      <c r="M1" s="55" t="str">
        <f>IRJ1_FR!AA1</f>
        <v>Édition du 22 juillet 2025 N°7/2025</v>
      </c>
    </row>
    <row r="2" spans="1:15" ht="21">
      <c r="A2" s="189" t="s">
        <v>0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</row>
    <row r="3" spans="1:15" ht="21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63" spans="1:11">
      <c r="A63" s="213" t="s">
        <v>61</v>
      </c>
      <c r="B63" s="213"/>
      <c r="C63" s="213"/>
      <c r="D63" s="213"/>
      <c r="E63" s="213"/>
      <c r="F63" s="213"/>
      <c r="G63" s="213"/>
      <c r="H63" s="213"/>
      <c r="I63" s="213"/>
      <c r="J63" s="213"/>
      <c r="K63" s="213"/>
    </row>
    <row r="64" spans="1:11">
      <c r="H64" s="6"/>
    </row>
  </sheetData>
  <dataConsolidate/>
  <mergeCells count="2">
    <mergeCell ref="A63:K63"/>
    <mergeCell ref="A2:O2"/>
  </mergeCells>
  <phoneticPr fontId="2" type="noConversion"/>
  <printOptions horizontalCentered="1" verticalCentered="1"/>
  <pageMargins left="0.19685039370078741" right="0.19685039370078741" top="0.19685039370078741" bottom="0.19685039370078741" header="0.31496062992125984" footer="0.51181102362204722"/>
  <pageSetup paperSize="9" scale="7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36"/>
  <sheetViews>
    <sheetView workbookViewId="0">
      <pane ySplit="3" topLeftCell="A333" activePane="bottomLeft" state="frozen"/>
      <selection activeCell="A14" sqref="A14"/>
      <selection pane="bottomLeft" activeCell="D159" sqref="D159"/>
    </sheetView>
  </sheetViews>
  <sheetFormatPr defaultColWidth="8.85546875" defaultRowHeight="12.75"/>
  <cols>
    <col min="1" max="2" width="8.85546875" style="1"/>
    <col min="3" max="3" width="20.42578125" style="1" bestFit="1" customWidth="1"/>
    <col min="4" max="4" width="20.42578125" style="1" customWidth="1"/>
    <col min="5" max="8" width="8.85546875" style="1"/>
    <col min="9" max="9" width="21.140625" style="1" bestFit="1" customWidth="1"/>
    <col min="10" max="10" width="9.140625" style="1" customWidth="1"/>
    <col min="11" max="11" width="12.140625" style="1" bestFit="1" customWidth="1"/>
    <col min="12" max="16384" width="8.85546875" style="1"/>
  </cols>
  <sheetData>
    <row r="1" spans="1:11" ht="15.75">
      <c r="B1" s="83" t="s">
        <v>83</v>
      </c>
      <c r="G1" s="83" t="s">
        <v>82</v>
      </c>
    </row>
    <row r="3" spans="1:11">
      <c r="B3" s="84" t="s">
        <v>58</v>
      </c>
      <c r="C3" s="84" t="s">
        <v>3</v>
      </c>
      <c r="D3" s="84" t="s">
        <v>87</v>
      </c>
      <c r="G3" s="84" t="s">
        <v>58</v>
      </c>
      <c r="I3" s="84" t="s">
        <v>3</v>
      </c>
      <c r="K3" s="84" t="s">
        <v>87</v>
      </c>
    </row>
    <row r="4" spans="1:11">
      <c r="A4" s="1">
        <v>1998</v>
      </c>
      <c r="C4" s="85">
        <v>3.3843426977855389</v>
      </c>
      <c r="D4" s="85">
        <f>C4</f>
        <v>3.3843426977855389</v>
      </c>
      <c r="I4" s="86"/>
    </row>
    <row r="5" spans="1:11">
      <c r="C5" s="85">
        <v>2.9535229525589006</v>
      </c>
      <c r="D5" s="85">
        <f t="shared" ref="D5:D65" si="0">C5</f>
        <v>2.9535229525589006</v>
      </c>
      <c r="G5" s="87"/>
      <c r="H5" s="88" t="s">
        <v>59</v>
      </c>
    </row>
    <row r="6" spans="1:11">
      <c r="C6" s="85">
        <v>2.8786593452659002</v>
      </c>
      <c r="D6" s="85">
        <f t="shared" si="0"/>
        <v>2.8786593452659002</v>
      </c>
      <c r="G6" s="1">
        <v>1998</v>
      </c>
      <c r="H6" s="88" t="s">
        <v>59</v>
      </c>
      <c r="J6" s="178">
        <v>14</v>
      </c>
      <c r="K6" s="80"/>
    </row>
    <row r="7" spans="1:11">
      <c r="C7" s="85">
        <v>2.9686182659439999</v>
      </c>
      <c r="D7" s="85">
        <f t="shared" si="0"/>
        <v>2.9686182659439999</v>
      </c>
      <c r="G7" s="88"/>
      <c r="H7" s="88" t="s">
        <v>59</v>
      </c>
      <c r="J7" s="178">
        <v>16</v>
      </c>
      <c r="K7" s="80"/>
    </row>
    <row r="8" spans="1:11">
      <c r="A8" s="1">
        <v>1999</v>
      </c>
      <c r="C8" s="85">
        <v>2.7124555174374119</v>
      </c>
      <c r="D8" s="85">
        <f t="shared" si="0"/>
        <v>2.7124555174374119</v>
      </c>
      <c r="G8" s="88"/>
      <c r="H8" s="88" t="s">
        <v>59</v>
      </c>
      <c r="J8" s="178">
        <v>18</v>
      </c>
      <c r="K8" s="80"/>
    </row>
    <row r="9" spans="1:11">
      <c r="C9" s="85">
        <v>3.7133143337600001</v>
      </c>
      <c r="D9" s="85">
        <f t="shared" si="0"/>
        <v>3.7133143337600001</v>
      </c>
      <c r="G9" s="88"/>
      <c r="H9" s="88" t="s">
        <v>59</v>
      </c>
      <c r="J9" s="178">
        <v>17</v>
      </c>
      <c r="K9" s="80"/>
    </row>
    <row r="10" spans="1:11">
      <c r="C10" s="85">
        <v>3.496856812611</v>
      </c>
      <c r="D10" s="85">
        <f t="shared" si="0"/>
        <v>3.496856812611</v>
      </c>
      <c r="G10" s="88"/>
      <c r="H10" s="88" t="s">
        <v>59</v>
      </c>
      <c r="J10" s="178">
        <v>13</v>
      </c>
      <c r="K10" s="80"/>
    </row>
    <row r="11" spans="1:11">
      <c r="C11" s="85">
        <v>3.7669792831889999</v>
      </c>
      <c r="D11" s="85">
        <f t="shared" si="0"/>
        <v>3.7669792831889999</v>
      </c>
      <c r="G11" s="88"/>
      <c r="H11" s="88" t="s">
        <v>59</v>
      </c>
      <c r="J11" s="178">
        <v>18</v>
      </c>
      <c r="K11" s="80"/>
    </row>
    <row r="12" spans="1:11">
      <c r="A12" s="87">
        <v>2000</v>
      </c>
      <c r="B12" s="87"/>
      <c r="C12" s="85">
        <v>3.2417975529</v>
      </c>
      <c r="D12" s="85">
        <f t="shared" si="0"/>
        <v>3.2417975529</v>
      </c>
      <c r="G12" s="88"/>
      <c r="H12" s="88" t="s">
        <v>59</v>
      </c>
      <c r="J12" s="178">
        <v>14</v>
      </c>
      <c r="K12" s="80"/>
    </row>
    <row r="13" spans="1:11">
      <c r="C13" s="85">
        <v>2.8231757358398002</v>
      </c>
      <c r="D13" s="85">
        <f t="shared" si="0"/>
        <v>2.8231757358398002</v>
      </c>
      <c r="G13" s="88"/>
      <c r="H13" s="88" t="s">
        <v>59</v>
      </c>
      <c r="J13" s="178">
        <v>4</v>
      </c>
      <c r="K13" s="80"/>
    </row>
    <row r="14" spans="1:11">
      <c r="C14" s="85">
        <v>2.5774185927629998</v>
      </c>
      <c r="D14" s="85">
        <f t="shared" si="0"/>
        <v>2.5774185927629998</v>
      </c>
      <c r="G14" s="88"/>
      <c r="H14" s="88" t="s">
        <v>59</v>
      </c>
      <c r="J14" s="178">
        <v>-1</v>
      </c>
      <c r="K14" s="80"/>
    </row>
    <row r="15" spans="1:11">
      <c r="C15" s="85">
        <v>2.9256771944389999</v>
      </c>
      <c r="D15" s="85">
        <f t="shared" si="0"/>
        <v>2.9256771944389999</v>
      </c>
      <c r="G15" s="88"/>
      <c r="H15" s="88" t="s">
        <v>59</v>
      </c>
      <c r="J15" s="178">
        <v>-12</v>
      </c>
      <c r="K15" s="80"/>
    </row>
    <row r="16" spans="1:11">
      <c r="A16" s="87">
        <v>2001</v>
      </c>
      <c r="B16" s="87"/>
      <c r="C16" s="85">
        <v>2.915232127738367</v>
      </c>
      <c r="D16" s="85">
        <f t="shared" si="0"/>
        <v>2.915232127738367</v>
      </c>
      <c r="G16" s="88"/>
      <c r="H16" s="88" t="s">
        <v>59</v>
      </c>
      <c r="J16" s="178">
        <v>-13</v>
      </c>
      <c r="K16" s="80"/>
    </row>
    <row r="17" spans="1:11">
      <c r="C17" s="85">
        <v>2.8473521329985001</v>
      </c>
      <c r="D17" s="85">
        <f t="shared" si="0"/>
        <v>2.8473521329985001</v>
      </c>
      <c r="G17" s="89"/>
      <c r="H17" s="88" t="s">
        <v>59</v>
      </c>
      <c r="I17" s="85">
        <f>AVERAGE(J6:J17)</f>
        <v>5.666666666666667</v>
      </c>
      <c r="J17" s="178">
        <v>-20</v>
      </c>
      <c r="K17" s="85">
        <f>I17</f>
        <v>5.666666666666667</v>
      </c>
    </row>
    <row r="18" spans="1:11">
      <c r="C18" s="85">
        <v>2.8658864455279791</v>
      </c>
      <c r="D18" s="85">
        <f t="shared" si="0"/>
        <v>2.8658864455279791</v>
      </c>
      <c r="G18" s="88">
        <v>1999</v>
      </c>
      <c r="H18" s="88" t="s">
        <v>59</v>
      </c>
      <c r="I18" s="85">
        <f t="shared" ref="I18:I81" si="1">AVERAGE(J7:J18)</f>
        <v>3.6666666666666665</v>
      </c>
      <c r="J18" s="178">
        <v>-10</v>
      </c>
      <c r="K18" s="85">
        <f t="shared" ref="K18:K81" si="2">I18</f>
        <v>3.6666666666666665</v>
      </c>
    </row>
    <row r="19" spans="1:11">
      <c r="C19" s="85">
        <v>2.8567765653633872</v>
      </c>
      <c r="D19" s="85">
        <f t="shared" si="0"/>
        <v>2.8567765653633872</v>
      </c>
      <c r="G19" s="88"/>
      <c r="H19" s="88" t="s">
        <v>59</v>
      </c>
      <c r="I19" s="85">
        <f t="shared" si="1"/>
        <v>1.9166666666666667</v>
      </c>
      <c r="J19" s="178">
        <v>-5</v>
      </c>
      <c r="K19" s="85">
        <f t="shared" si="2"/>
        <v>1.9166666666666667</v>
      </c>
    </row>
    <row r="20" spans="1:11">
      <c r="A20" s="90" t="s">
        <v>57</v>
      </c>
      <c r="B20" s="90"/>
      <c r="C20" s="85">
        <v>2.84</v>
      </c>
      <c r="D20" s="85">
        <f t="shared" si="0"/>
        <v>2.84</v>
      </c>
      <c r="G20" s="88"/>
      <c r="H20" s="88" t="s">
        <v>59</v>
      </c>
      <c r="I20" s="85">
        <f t="shared" si="1"/>
        <v>-0.5</v>
      </c>
      <c r="J20" s="178">
        <v>-11</v>
      </c>
      <c r="K20" s="85">
        <f t="shared" si="2"/>
        <v>-0.5</v>
      </c>
    </row>
    <row r="21" spans="1:11">
      <c r="C21" s="85">
        <v>2.8358984778729814</v>
      </c>
      <c r="D21" s="85">
        <f t="shared" si="0"/>
        <v>2.8358984778729814</v>
      </c>
      <c r="G21" s="88"/>
      <c r="H21" s="88" t="s">
        <v>59</v>
      </c>
      <c r="I21" s="85">
        <f t="shared" si="1"/>
        <v>-2.25</v>
      </c>
      <c r="J21" s="178">
        <v>-4</v>
      </c>
      <c r="K21" s="85">
        <f t="shared" si="2"/>
        <v>-2.25</v>
      </c>
    </row>
    <row r="22" spans="1:11">
      <c r="C22" s="85">
        <v>3.21961637288</v>
      </c>
      <c r="D22" s="85">
        <f t="shared" si="0"/>
        <v>3.21961637288</v>
      </c>
      <c r="G22" s="88"/>
      <c r="H22" s="88" t="s">
        <v>59</v>
      </c>
      <c r="I22" s="85">
        <f t="shared" si="1"/>
        <v>-3.9166666666666665</v>
      </c>
      <c r="J22" s="178">
        <v>-7</v>
      </c>
      <c r="K22" s="85">
        <f t="shared" si="2"/>
        <v>-3.9166666666666665</v>
      </c>
    </row>
    <row r="23" spans="1:11">
      <c r="C23" s="85">
        <v>2.9991395576351878</v>
      </c>
      <c r="D23" s="85">
        <f t="shared" si="0"/>
        <v>2.9991395576351878</v>
      </c>
      <c r="G23" s="88"/>
      <c r="H23" s="88" t="s">
        <v>59</v>
      </c>
      <c r="I23" s="85">
        <f t="shared" si="1"/>
        <v>-5.5</v>
      </c>
      <c r="J23" s="178">
        <v>-1</v>
      </c>
      <c r="K23" s="85">
        <f t="shared" si="2"/>
        <v>-5.5</v>
      </c>
    </row>
    <row r="24" spans="1:11">
      <c r="A24" s="90" t="s">
        <v>56</v>
      </c>
      <c r="B24" s="90"/>
      <c r="C24" s="85">
        <v>2.9388877349942999</v>
      </c>
      <c r="D24" s="85">
        <f t="shared" si="0"/>
        <v>2.9388877349942999</v>
      </c>
      <c r="G24" s="88"/>
      <c r="H24" s="88" t="s">
        <v>59</v>
      </c>
      <c r="I24" s="85">
        <f t="shared" si="1"/>
        <v>-6.5</v>
      </c>
      <c r="J24" s="178">
        <v>2</v>
      </c>
      <c r="K24" s="85">
        <f t="shared" si="2"/>
        <v>-6.5</v>
      </c>
    </row>
    <row r="25" spans="1:11">
      <c r="C25" s="85">
        <v>3.1829535898432999</v>
      </c>
      <c r="D25" s="85">
        <f t="shared" si="0"/>
        <v>3.1829535898432999</v>
      </c>
      <c r="G25" s="88"/>
      <c r="H25" s="88" t="s">
        <v>59</v>
      </c>
      <c r="I25" s="85">
        <f t="shared" si="1"/>
        <v>-6.916666666666667</v>
      </c>
      <c r="J25" s="178">
        <v>-1</v>
      </c>
      <c r="K25" s="85">
        <f t="shared" si="2"/>
        <v>-6.916666666666667</v>
      </c>
    </row>
    <row r="26" spans="1:11">
      <c r="C26" s="85">
        <v>2.7595262512429999</v>
      </c>
      <c r="D26" s="85">
        <f t="shared" si="0"/>
        <v>2.7595262512429999</v>
      </c>
      <c r="G26" s="88"/>
      <c r="H26" s="88" t="s">
        <v>59</v>
      </c>
      <c r="I26" s="85">
        <f t="shared" si="1"/>
        <v>-6.166666666666667</v>
      </c>
      <c r="J26" s="178">
        <v>8</v>
      </c>
      <c r="K26" s="85">
        <f t="shared" si="2"/>
        <v>-6.166666666666667</v>
      </c>
    </row>
    <row r="27" spans="1:11">
      <c r="C27" s="85">
        <v>2.7965694275759998</v>
      </c>
      <c r="D27" s="85">
        <f t="shared" si="0"/>
        <v>2.7965694275759998</v>
      </c>
      <c r="G27" s="88"/>
      <c r="H27" s="88" t="s">
        <v>59</v>
      </c>
      <c r="I27" s="85">
        <f t="shared" si="1"/>
        <v>-4.75</v>
      </c>
      <c r="J27" s="178">
        <v>5</v>
      </c>
      <c r="K27" s="85">
        <f t="shared" si="2"/>
        <v>-4.75</v>
      </c>
    </row>
    <row r="28" spans="1:11">
      <c r="A28" s="87">
        <v>2004</v>
      </c>
      <c r="B28" s="87"/>
      <c r="C28" s="85">
        <v>2.7165119839830001</v>
      </c>
      <c r="D28" s="85">
        <f t="shared" si="0"/>
        <v>2.7165119839830001</v>
      </c>
      <c r="G28" s="88"/>
      <c r="H28" s="88" t="s">
        <v>59</v>
      </c>
      <c r="I28" s="85">
        <f t="shared" si="1"/>
        <v>-3.3333333333333335</v>
      </c>
      <c r="J28" s="178">
        <v>4</v>
      </c>
      <c r="K28" s="85">
        <f t="shared" si="2"/>
        <v>-3.3333333333333335</v>
      </c>
    </row>
    <row r="29" spans="1:11">
      <c r="C29" s="85">
        <v>3.1836749747265545</v>
      </c>
      <c r="D29" s="85">
        <f t="shared" si="0"/>
        <v>3.1836749747265545</v>
      </c>
      <c r="G29" s="89"/>
      <c r="H29" s="88" t="s">
        <v>59</v>
      </c>
      <c r="I29" s="85">
        <f t="shared" si="1"/>
        <v>-0.83333333333333337</v>
      </c>
      <c r="J29" s="178">
        <v>10</v>
      </c>
      <c r="K29" s="85">
        <f t="shared" si="2"/>
        <v>-0.83333333333333337</v>
      </c>
    </row>
    <row r="30" spans="1:11">
      <c r="C30" s="85">
        <v>3.3649425576323453</v>
      </c>
      <c r="D30" s="85">
        <f t="shared" si="0"/>
        <v>3.3649425576323453</v>
      </c>
      <c r="G30" s="88">
        <v>2000</v>
      </c>
      <c r="H30" s="88" t="s">
        <v>59</v>
      </c>
      <c r="I30" s="85">
        <f t="shared" si="1"/>
        <v>0.83333333333333337</v>
      </c>
      <c r="J30" s="178">
        <v>10</v>
      </c>
      <c r="K30" s="85">
        <f t="shared" si="2"/>
        <v>0.83333333333333337</v>
      </c>
    </row>
    <row r="31" spans="1:11">
      <c r="C31" s="85">
        <v>2.9922896549860001</v>
      </c>
      <c r="D31" s="85">
        <f t="shared" si="0"/>
        <v>2.9922896549860001</v>
      </c>
      <c r="G31" s="88"/>
      <c r="H31" s="88" t="s">
        <v>59</v>
      </c>
      <c r="I31" s="85">
        <f t="shared" si="1"/>
        <v>2.0833333333333335</v>
      </c>
      <c r="J31" s="178">
        <v>10</v>
      </c>
      <c r="K31" s="85">
        <f t="shared" si="2"/>
        <v>2.0833333333333335</v>
      </c>
    </row>
    <row r="32" spans="1:11">
      <c r="A32" s="87">
        <v>2005</v>
      </c>
      <c r="C32" s="85">
        <v>3.6676582784530001</v>
      </c>
      <c r="D32" s="85">
        <f t="shared" si="0"/>
        <v>3.6676582784530001</v>
      </c>
      <c r="G32" s="88"/>
      <c r="H32" s="88" t="s">
        <v>59</v>
      </c>
      <c r="I32" s="85">
        <f t="shared" si="1"/>
        <v>4.333333333333333</v>
      </c>
      <c r="J32" s="178">
        <v>16</v>
      </c>
      <c r="K32" s="85">
        <f t="shared" si="2"/>
        <v>4.333333333333333</v>
      </c>
    </row>
    <row r="33" spans="1:11">
      <c r="C33" s="85">
        <v>3.8845113491490002</v>
      </c>
      <c r="D33" s="85">
        <f t="shared" si="0"/>
        <v>3.8845113491490002</v>
      </c>
      <c r="G33" s="88"/>
      <c r="H33" s="88" t="s">
        <v>59</v>
      </c>
      <c r="I33" s="85">
        <f t="shared" si="1"/>
        <v>5.666666666666667</v>
      </c>
      <c r="J33" s="178">
        <v>12</v>
      </c>
      <c r="K33" s="85">
        <f t="shared" si="2"/>
        <v>5.666666666666667</v>
      </c>
    </row>
    <row r="34" spans="1:11">
      <c r="C34" s="85">
        <v>2.8951283956638001</v>
      </c>
      <c r="D34" s="85">
        <f t="shared" si="0"/>
        <v>2.8951283956638001</v>
      </c>
      <c r="G34" s="88"/>
      <c r="H34" s="88" t="s">
        <v>59</v>
      </c>
      <c r="I34" s="85">
        <f t="shared" si="1"/>
        <v>7.25</v>
      </c>
      <c r="J34" s="178">
        <v>12</v>
      </c>
      <c r="K34" s="85">
        <f t="shared" si="2"/>
        <v>7.25</v>
      </c>
    </row>
    <row r="35" spans="1:11">
      <c r="C35" s="85">
        <v>2.967627237716</v>
      </c>
      <c r="D35" s="85">
        <f t="shared" si="0"/>
        <v>2.967627237716</v>
      </c>
      <c r="G35" s="88"/>
      <c r="H35" s="88" t="s">
        <v>59</v>
      </c>
      <c r="I35" s="85">
        <f t="shared" si="1"/>
        <v>8</v>
      </c>
      <c r="J35" s="178">
        <v>8</v>
      </c>
      <c r="K35" s="85">
        <f t="shared" si="2"/>
        <v>8</v>
      </c>
    </row>
    <row r="36" spans="1:11">
      <c r="A36" s="87">
        <v>2006</v>
      </c>
      <c r="C36" s="85">
        <v>3.2953388535564549</v>
      </c>
      <c r="D36" s="85">
        <f t="shared" si="0"/>
        <v>3.2953388535564549</v>
      </c>
      <c r="G36" s="88"/>
      <c r="H36" s="88" t="s">
        <v>59</v>
      </c>
      <c r="I36" s="85">
        <f t="shared" si="1"/>
        <v>8.6666666666666661</v>
      </c>
      <c r="J36" s="178">
        <v>10</v>
      </c>
      <c r="K36" s="85">
        <f t="shared" si="2"/>
        <v>8.6666666666666661</v>
      </c>
    </row>
    <row r="37" spans="1:11">
      <c r="C37" s="85">
        <v>3.3843557942348999</v>
      </c>
      <c r="D37" s="85">
        <f t="shared" si="0"/>
        <v>3.3843557942348999</v>
      </c>
      <c r="G37" s="88"/>
      <c r="H37" s="88" t="s">
        <v>59</v>
      </c>
      <c r="I37" s="85">
        <f t="shared" si="1"/>
        <v>9.6666666666666661</v>
      </c>
      <c r="J37" s="178">
        <v>11</v>
      </c>
      <c r="K37" s="85">
        <f t="shared" si="2"/>
        <v>9.6666666666666661</v>
      </c>
    </row>
    <row r="38" spans="1:11">
      <c r="C38" s="85">
        <v>3.7528261283290001</v>
      </c>
      <c r="D38" s="85">
        <f t="shared" si="0"/>
        <v>3.7528261283290001</v>
      </c>
      <c r="G38" s="88"/>
      <c r="H38" s="88" t="s">
        <v>59</v>
      </c>
      <c r="I38" s="85">
        <f t="shared" si="1"/>
        <v>10.166666666666666</v>
      </c>
      <c r="J38" s="178">
        <v>14</v>
      </c>
      <c r="K38" s="85">
        <f t="shared" si="2"/>
        <v>10.166666666666666</v>
      </c>
    </row>
    <row r="39" spans="1:11">
      <c r="C39" s="85">
        <v>3.6584761485184001</v>
      </c>
      <c r="D39" s="85">
        <f t="shared" si="0"/>
        <v>3.6584761485184001</v>
      </c>
      <c r="G39" s="88"/>
      <c r="H39" s="88" t="s">
        <v>59</v>
      </c>
      <c r="I39" s="85">
        <f t="shared" si="1"/>
        <v>9.8333333333333339</v>
      </c>
      <c r="J39" s="178">
        <v>1</v>
      </c>
      <c r="K39" s="85">
        <f t="shared" si="2"/>
        <v>9.8333333333333339</v>
      </c>
    </row>
    <row r="40" spans="1:11">
      <c r="A40" s="87">
        <v>2007</v>
      </c>
      <c r="B40" s="87"/>
      <c r="C40" s="85">
        <v>3.7373245463</v>
      </c>
      <c r="D40" s="85">
        <f t="shared" si="0"/>
        <v>3.7373245463</v>
      </c>
      <c r="G40" s="88"/>
      <c r="H40" s="88" t="s">
        <v>59</v>
      </c>
      <c r="I40" s="85">
        <f t="shared" si="1"/>
        <v>9.6666666666666661</v>
      </c>
      <c r="J40" s="178">
        <v>2</v>
      </c>
      <c r="K40" s="85">
        <f t="shared" si="2"/>
        <v>9.6666666666666661</v>
      </c>
    </row>
    <row r="41" spans="1:11">
      <c r="C41" s="85">
        <v>3.6157747577966002</v>
      </c>
      <c r="D41" s="85">
        <f t="shared" si="0"/>
        <v>3.6157747577966002</v>
      </c>
      <c r="G41" s="91"/>
      <c r="H41" s="88" t="s">
        <v>59</v>
      </c>
      <c r="I41" s="85">
        <f t="shared" si="1"/>
        <v>9.3333333333333339</v>
      </c>
      <c r="J41" s="178">
        <v>6</v>
      </c>
      <c r="K41" s="85">
        <f t="shared" si="2"/>
        <v>9.3333333333333339</v>
      </c>
    </row>
    <row r="42" spans="1:11">
      <c r="C42" s="85">
        <v>3.9655959182623675</v>
      </c>
      <c r="D42" s="85">
        <f t="shared" si="0"/>
        <v>3.9655959182623675</v>
      </c>
      <c r="G42" s="88">
        <v>2001</v>
      </c>
      <c r="H42" s="88" t="s">
        <v>59</v>
      </c>
      <c r="I42" s="85">
        <f t="shared" si="1"/>
        <v>8.6666666666666661</v>
      </c>
      <c r="J42" s="178">
        <v>2</v>
      </c>
      <c r="K42" s="85">
        <f t="shared" si="2"/>
        <v>8.6666666666666661</v>
      </c>
    </row>
    <row r="43" spans="1:11">
      <c r="C43" s="85">
        <v>3.9312947799154001</v>
      </c>
      <c r="D43" s="85">
        <f t="shared" si="0"/>
        <v>3.9312947799154001</v>
      </c>
      <c r="G43" s="88"/>
      <c r="H43" s="88" t="s">
        <v>59</v>
      </c>
      <c r="I43" s="85">
        <f t="shared" si="1"/>
        <v>8.25</v>
      </c>
      <c r="J43" s="178">
        <v>5</v>
      </c>
      <c r="K43" s="85">
        <f t="shared" si="2"/>
        <v>8.25</v>
      </c>
    </row>
    <row r="44" spans="1:11">
      <c r="A44" s="1">
        <v>2008</v>
      </c>
      <c r="B44" s="87"/>
      <c r="C44" s="85">
        <v>3.8925382686519998</v>
      </c>
      <c r="D44" s="85">
        <f t="shared" si="0"/>
        <v>3.8925382686519998</v>
      </c>
      <c r="G44" s="88"/>
      <c r="H44" s="88" t="s">
        <v>59</v>
      </c>
      <c r="I44" s="85">
        <f t="shared" si="1"/>
        <v>5.583333333333333</v>
      </c>
      <c r="J44" s="178">
        <v>-16</v>
      </c>
      <c r="K44" s="85">
        <f t="shared" si="2"/>
        <v>5.583333333333333</v>
      </c>
    </row>
    <row r="45" spans="1:11">
      <c r="C45" s="85">
        <v>3.8545376472643</v>
      </c>
      <c r="D45" s="85">
        <f t="shared" si="0"/>
        <v>3.8545376472643</v>
      </c>
      <c r="G45" s="88"/>
      <c r="H45" s="88" t="s">
        <v>59</v>
      </c>
      <c r="I45" s="85">
        <f t="shared" si="1"/>
        <v>2.0833333333333335</v>
      </c>
      <c r="J45" s="178">
        <v>-30</v>
      </c>
      <c r="K45" s="85">
        <f t="shared" si="2"/>
        <v>2.0833333333333335</v>
      </c>
    </row>
    <row r="46" spans="1:11">
      <c r="C46" s="85">
        <v>4.5178298512400001</v>
      </c>
      <c r="D46" s="85">
        <f t="shared" si="0"/>
        <v>4.5178298512400001</v>
      </c>
      <c r="G46" s="88"/>
      <c r="H46" s="88" t="s">
        <v>59</v>
      </c>
      <c r="I46" s="85">
        <f t="shared" si="1"/>
        <v>-0.83333333333333337</v>
      </c>
      <c r="J46" s="178">
        <v>-23</v>
      </c>
      <c r="K46" s="85">
        <f t="shared" si="2"/>
        <v>-0.83333333333333337</v>
      </c>
    </row>
    <row r="47" spans="1:11">
      <c r="C47" s="85">
        <v>3.7581239238948001</v>
      </c>
      <c r="D47" s="85">
        <f t="shared" si="0"/>
        <v>3.7581239238948001</v>
      </c>
      <c r="G47" s="88"/>
      <c r="H47" s="88" t="s">
        <v>59</v>
      </c>
      <c r="I47" s="85">
        <f t="shared" si="1"/>
        <v>-3.8333333333333335</v>
      </c>
      <c r="J47" s="178">
        <v>-28</v>
      </c>
      <c r="K47" s="85">
        <f t="shared" si="2"/>
        <v>-3.8333333333333335</v>
      </c>
    </row>
    <row r="48" spans="1:11">
      <c r="A48" s="92">
        <v>2009</v>
      </c>
      <c r="B48" s="90"/>
      <c r="C48" s="85">
        <v>2.8794113817409999</v>
      </c>
      <c r="D48" s="85">
        <f t="shared" si="0"/>
        <v>2.8794113817409999</v>
      </c>
      <c r="G48" s="88"/>
      <c r="H48" s="88" t="s">
        <v>59</v>
      </c>
      <c r="I48" s="85">
        <f t="shared" si="1"/>
        <v>-7.416666666666667</v>
      </c>
      <c r="J48" s="178">
        <v>-33</v>
      </c>
      <c r="K48" s="85">
        <f t="shared" si="2"/>
        <v>-7.416666666666667</v>
      </c>
    </row>
    <row r="49" spans="1:11">
      <c r="C49" s="85">
        <v>2.5965554237972031</v>
      </c>
      <c r="D49" s="85">
        <f t="shared" si="0"/>
        <v>2.5965554237972031</v>
      </c>
      <c r="G49" s="88"/>
      <c r="H49" s="88" t="s">
        <v>59</v>
      </c>
      <c r="I49" s="85">
        <f t="shared" si="1"/>
        <v>-10.5</v>
      </c>
      <c r="J49" s="178">
        <v>-26</v>
      </c>
      <c r="K49" s="85">
        <f t="shared" si="2"/>
        <v>-10.5</v>
      </c>
    </row>
    <row r="50" spans="1:11">
      <c r="C50" s="85">
        <v>2.5456638128979998</v>
      </c>
      <c r="D50" s="85">
        <f t="shared" si="0"/>
        <v>2.5456638128979998</v>
      </c>
      <c r="G50" s="88"/>
      <c r="H50" s="88" t="s">
        <v>59</v>
      </c>
      <c r="I50" s="85">
        <f t="shared" si="1"/>
        <v>-13.333333333333334</v>
      </c>
      <c r="J50" s="178">
        <v>-20</v>
      </c>
      <c r="K50" s="85">
        <f t="shared" si="2"/>
        <v>-13.333333333333334</v>
      </c>
    </row>
    <row r="51" spans="1:11">
      <c r="C51" s="85">
        <v>2.8655543869360001</v>
      </c>
      <c r="D51" s="85">
        <f t="shared" si="0"/>
        <v>2.8655543869360001</v>
      </c>
      <c r="G51" s="88"/>
      <c r="H51" s="88" t="s">
        <v>59</v>
      </c>
      <c r="I51" s="85">
        <f t="shared" si="1"/>
        <v>-15.333333333333334</v>
      </c>
      <c r="J51" s="178">
        <v>-23</v>
      </c>
      <c r="K51" s="85">
        <f t="shared" si="2"/>
        <v>-15.333333333333334</v>
      </c>
    </row>
    <row r="52" spans="1:11">
      <c r="A52" s="1">
        <v>2010</v>
      </c>
      <c r="B52" s="90"/>
      <c r="C52" s="85">
        <v>2.9125693313893999</v>
      </c>
      <c r="D52" s="85">
        <f t="shared" si="0"/>
        <v>2.9125693313893999</v>
      </c>
      <c r="G52" s="88"/>
      <c r="H52" s="88" t="s">
        <v>59</v>
      </c>
      <c r="I52" s="85">
        <f t="shared" si="1"/>
        <v>-19.583333333333332</v>
      </c>
      <c r="J52" s="178">
        <v>-49</v>
      </c>
      <c r="K52" s="85">
        <f t="shared" si="2"/>
        <v>-19.583333333333332</v>
      </c>
    </row>
    <row r="53" spans="1:11">
      <c r="C53" s="85">
        <v>3</v>
      </c>
      <c r="D53" s="85">
        <f t="shared" si="0"/>
        <v>3</v>
      </c>
      <c r="H53" s="88" t="s">
        <v>59</v>
      </c>
      <c r="I53" s="85">
        <f t="shared" si="1"/>
        <v>-23.833333333333332</v>
      </c>
      <c r="J53" s="178">
        <v>-45</v>
      </c>
      <c r="K53" s="85">
        <f t="shared" si="2"/>
        <v>-23.833333333333332</v>
      </c>
    </row>
    <row r="54" spans="1:11">
      <c r="C54" s="85">
        <v>3.5</v>
      </c>
      <c r="D54" s="85">
        <f t="shared" si="0"/>
        <v>3.5</v>
      </c>
      <c r="G54" s="89">
        <v>2002</v>
      </c>
      <c r="H54" s="88" t="s">
        <v>59</v>
      </c>
      <c r="I54" s="85">
        <f t="shared" si="1"/>
        <v>-27.083333333333332</v>
      </c>
      <c r="J54" s="178">
        <v>-37</v>
      </c>
      <c r="K54" s="85">
        <f t="shared" si="2"/>
        <v>-27.083333333333332</v>
      </c>
    </row>
    <row r="55" spans="1:11">
      <c r="C55" s="85">
        <v>3.8</v>
      </c>
      <c r="D55" s="85">
        <f t="shared" si="0"/>
        <v>3.8</v>
      </c>
      <c r="G55" s="88"/>
      <c r="H55" s="88" t="s">
        <v>59</v>
      </c>
      <c r="I55" s="85">
        <f t="shared" si="1"/>
        <v>-30.5</v>
      </c>
      <c r="J55" s="178">
        <v>-36</v>
      </c>
      <c r="K55" s="85">
        <f t="shared" si="2"/>
        <v>-30.5</v>
      </c>
    </row>
    <row r="56" spans="1:11">
      <c r="A56" s="1">
        <v>2011</v>
      </c>
      <c r="B56" s="87"/>
      <c r="C56" s="85">
        <v>3.3</v>
      </c>
      <c r="D56" s="85">
        <f t="shared" si="0"/>
        <v>3.3</v>
      </c>
      <c r="G56" s="88"/>
      <c r="H56" s="88" t="s">
        <v>59</v>
      </c>
      <c r="I56" s="85">
        <f t="shared" si="1"/>
        <v>-32.166666666666664</v>
      </c>
      <c r="J56" s="178">
        <v>-36</v>
      </c>
      <c r="K56" s="85">
        <f t="shared" si="2"/>
        <v>-32.166666666666664</v>
      </c>
    </row>
    <row r="57" spans="1:11">
      <c r="C57" s="85">
        <v>3.4</v>
      </c>
      <c r="D57" s="85">
        <f t="shared" si="0"/>
        <v>3.4</v>
      </c>
      <c r="G57" s="88"/>
      <c r="H57" s="88" t="s">
        <v>59</v>
      </c>
      <c r="I57" s="85">
        <f t="shared" si="1"/>
        <v>-31.75</v>
      </c>
      <c r="J57" s="178">
        <v>-25</v>
      </c>
      <c r="K57" s="85">
        <f t="shared" si="2"/>
        <v>-31.75</v>
      </c>
    </row>
    <row r="58" spans="1:11">
      <c r="C58" s="85">
        <v>3.4</v>
      </c>
      <c r="D58" s="85">
        <f t="shared" si="0"/>
        <v>3.4</v>
      </c>
      <c r="G58" s="88"/>
      <c r="H58" s="88" t="s">
        <v>59</v>
      </c>
      <c r="I58" s="85">
        <f t="shared" si="1"/>
        <v>-32.333333333333336</v>
      </c>
      <c r="J58" s="178">
        <v>-30</v>
      </c>
      <c r="K58" s="85">
        <f t="shared" si="2"/>
        <v>-32.333333333333336</v>
      </c>
    </row>
    <row r="59" spans="1:11">
      <c r="C59" s="85">
        <v>3.6</v>
      </c>
      <c r="D59" s="85">
        <f t="shared" si="0"/>
        <v>3.6</v>
      </c>
      <c r="G59" s="88"/>
      <c r="H59" s="88" t="s">
        <v>59</v>
      </c>
      <c r="I59" s="85">
        <f t="shared" si="1"/>
        <v>-32</v>
      </c>
      <c r="J59" s="178">
        <v>-24</v>
      </c>
      <c r="K59" s="85">
        <f t="shared" si="2"/>
        <v>-32</v>
      </c>
    </row>
    <row r="60" spans="1:11">
      <c r="A60" s="1">
        <v>2012</v>
      </c>
      <c r="C60" s="85">
        <v>3.5</v>
      </c>
      <c r="D60" s="85">
        <f t="shared" si="0"/>
        <v>3.5</v>
      </c>
      <c r="G60" s="88"/>
      <c r="H60" s="88" t="s">
        <v>59</v>
      </c>
      <c r="I60" s="85">
        <f t="shared" si="1"/>
        <v>-29.083333333333332</v>
      </c>
      <c r="J60" s="178">
        <v>2</v>
      </c>
      <c r="K60" s="85">
        <f t="shared" si="2"/>
        <v>-29.083333333333332</v>
      </c>
    </row>
    <row r="61" spans="1:11">
      <c r="C61" s="85">
        <v>3.3</v>
      </c>
      <c r="D61" s="85">
        <f t="shared" si="0"/>
        <v>3.3</v>
      </c>
      <c r="G61" s="88"/>
      <c r="H61" s="88" t="s">
        <v>59</v>
      </c>
      <c r="I61" s="85">
        <f t="shared" si="1"/>
        <v>-27.75</v>
      </c>
      <c r="J61" s="178">
        <v>-10</v>
      </c>
      <c r="K61" s="85">
        <f t="shared" si="2"/>
        <v>-27.75</v>
      </c>
    </row>
    <row r="62" spans="1:11">
      <c r="C62" s="85">
        <v>3.4</v>
      </c>
      <c r="D62" s="85">
        <f t="shared" si="0"/>
        <v>3.4</v>
      </c>
      <c r="G62" s="88"/>
      <c r="H62" s="88" t="s">
        <v>59</v>
      </c>
      <c r="I62" s="85">
        <f t="shared" si="1"/>
        <v>-26.5</v>
      </c>
      <c r="J62" s="178">
        <v>-5</v>
      </c>
      <c r="K62" s="85">
        <f t="shared" si="2"/>
        <v>-26.5</v>
      </c>
    </row>
    <row r="63" spans="1:11">
      <c r="C63" s="1">
        <v>3.4</v>
      </c>
      <c r="D63" s="85">
        <f t="shared" si="0"/>
        <v>3.4</v>
      </c>
      <c r="G63" s="88"/>
      <c r="H63" s="88" t="s">
        <v>59</v>
      </c>
      <c r="I63" s="85">
        <f t="shared" si="1"/>
        <v>-24.75</v>
      </c>
      <c r="J63" s="178">
        <v>-2</v>
      </c>
      <c r="K63" s="85">
        <f t="shared" si="2"/>
        <v>-24.75</v>
      </c>
    </row>
    <row r="64" spans="1:11">
      <c r="A64" s="1">
        <v>2013</v>
      </c>
      <c r="C64" s="85">
        <v>3.4</v>
      </c>
      <c r="D64" s="85">
        <f t="shared" si="0"/>
        <v>3.4</v>
      </c>
      <c r="G64" s="88"/>
      <c r="H64" s="88" t="s">
        <v>59</v>
      </c>
      <c r="I64" s="85">
        <f t="shared" si="1"/>
        <v>-20.583333333333332</v>
      </c>
      <c r="J64" s="178">
        <v>1</v>
      </c>
      <c r="K64" s="85">
        <f t="shared" si="2"/>
        <v>-20.583333333333332</v>
      </c>
    </row>
    <row r="65" spans="1:11">
      <c r="C65" s="85">
        <v>3.4</v>
      </c>
      <c r="D65" s="85">
        <f t="shared" si="0"/>
        <v>3.4</v>
      </c>
      <c r="H65" s="88" t="s">
        <v>59</v>
      </c>
      <c r="I65" s="85">
        <f t="shared" si="1"/>
        <v>-18.166666666666668</v>
      </c>
      <c r="J65" s="178">
        <v>-16</v>
      </c>
      <c r="K65" s="85">
        <f t="shared" si="2"/>
        <v>-18.166666666666668</v>
      </c>
    </row>
    <row r="66" spans="1:11">
      <c r="C66" s="1">
        <v>3.3</v>
      </c>
      <c r="D66" s="1">
        <v>3.3</v>
      </c>
      <c r="G66" s="89">
        <v>2003</v>
      </c>
      <c r="H66" s="88" t="s">
        <v>59</v>
      </c>
      <c r="I66" s="85">
        <f t="shared" si="1"/>
        <v>-16.5</v>
      </c>
      <c r="J66" s="178">
        <v>-17</v>
      </c>
      <c r="K66" s="85">
        <f t="shared" si="2"/>
        <v>-16.5</v>
      </c>
    </row>
    <row r="67" spans="1:11">
      <c r="C67" s="1">
        <v>3.4</v>
      </c>
      <c r="D67" s="1">
        <v>3.4</v>
      </c>
      <c r="G67" s="88"/>
      <c r="H67" s="88" t="s">
        <v>59</v>
      </c>
      <c r="I67" s="85">
        <f t="shared" si="1"/>
        <v>-13.833333333333334</v>
      </c>
      <c r="J67" s="178">
        <v>-4</v>
      </c>
      <c r="K67" s="85">
        <f t="shared" si="2"/>
        <v>-13.833333333333334</v>
      </c>
    </row>
    <row r="68" spans="1:11">
      <c r="A68" s="1">
        <v>2014</v>
      </c>
      <c r="B68" s="87"/>
      <c r="C68" s="1">
        <v>3.3</v>
      </c>
      <c r="D68" s="1">
        <v>3.3</v>
      </c>
      <c r="G68" s="88"/>
      <c r="H68" s="88" t="s">
        <v>59</v>
      </c>
      <c r="I68" s="85">
        <f t="shared" si="1"/>
        <v>-10.25</v>
      </c>
      <c r="J68" s="178">
        <v>7</v>
      </c>
      <c r="K68" s="85">
        <f t="shared" si="2"/>
        <v>-10.25</v>
      </c>
    </row>
    <row r="69" spans="1:11">
      <c r="C69" s="1">
        <v>3.5</v>
      </c>
      <c r="D69" s="1">
        <v>3.5</v>
      </c>
      <c r="G69" s="88"/>
      <c r="H69" s="88" t="s">
        <v>59</v>
      </c>
      <c r="I69" s="85">
        <f t="shared" si="1"/>
        <v>-7.416666666666667</v>
      </c>
      <c r="J69" s="178">
        <v>9</v>
      </c>
      <c r="K69" s="85">
        <f t="shared" si="2"/>
        <v>-7.416666666666667</v>
      </c>
    </row>
    <row r="70" spans="1:11">
      <c r="C70" s="1">
        <v>3.3</v>
      </c>
      <c r="D70" s="1">
        <v>3.3</v>
      </c>
      <c r="G70" s="88"/>
      <c r="H70" s="88" t="s">
        <v>59</v>
      </c>
      <c r="I70" s="85">
        <f t="shared" si="1"/>
        <v>-4.666666666666667</v>
      </c>
      <c r="J70" s="178">
        <v>3</v>
      </c>
      <c r="K70" s="85">
        <f t="shared" si="2"/>
        <v>-4.666666666666667</v>
      </c>
    </row>
    <row r="71" spans="1:11">
      <c r="C71" s="1">
        <v>3.3</v>
      </c>
      <c r="D71" s="1">
        <v>3.3</v>
      </c>
      <c r="G71" s="88"/>
      <c r="H71" s="88" t="s">
        <v>59</v>
      </c>
      <c r="I71" s="85">
        <f t="shared" si="1"/>
        <v>-5</v>
      </c>
      <c r="J71" s="178">
        <v>-28</v>
      </c>
      <c r="K71" s="85">
        <f t="shared" si="2"/>
        <v>-5</v>
      </c>
    </row>
    <row r="72" spans="1:11">
      <c r="A72" s="1">
        <v>2015</v>
      </c>
      <c r="B72" s="87"/>
      <c r="C72" s="1">
        <v>3.3</v>
      </c>
      <c r="D72" s="1">
        <v>3.3</v>
      </c>
      <c r="G72" s="88"/>
      <c r="H72" s="88" t="s">
        <v>59</v>
      </c>
      <c r="I72" s="85">
        <f t="shared" si="1"/>
        <v>-5.5</v>
      </c>
      <c r="J72" s="178">
        <v>-4</v>
      </c>
      <c r="K72" s="85">
        <f t="shared" si="2"/>
        <v>-5.5</v>
      </c>
    </row>
    <row r="73" spans="1:11">
      <c r="C73" s="1">
        <v>3.6</v>
      </c>
      <c r="D73" s="1">
        <v>3.6</v>
      </c>
      <c r="G73" s="88"/>
      <c r="H73" s="88" t="s">
        <v>59</v>
      </c>
      <c r="I73" s="85">
        <f t="shared" si="1"/>
        <v>-4.833333333333333</v>
      </c>
      <c r="J73" s="178">
        <v>-2</v>
      </c>
      <c r="K73" s="85">
        <f t="shared" si="2"/>
        <v>-4.833333333333333</v>
      </c>
    </row>
    <row r="74" spans="1:11">
      <c r="C74" s="1">
        <v>3.7</v>
      </c>
      <c r="D74" s="1">
        <v>3.7</v>
      </c>
      <c r="G74" s="88"/>
      <c r="H74" s="88" t="s">
        <v>59</v>
      </c>
      <c r="I74" s="85">
        <f t="shared" si="1"/>
        <v>-4.333333333333333</v>
      </c>
      <c r="J74" s="178">
        <v>1</v>
      </c>
      <c r="K74" s="85">
        <f t="shared" si="2"/>
        <v>-4.333333333333333</v>
      </c>
    </row>
    <row r="75" spans="1:11">
      <c r="C75" s="1">
        <v>3.7</v>
      </c>
      <c r="D75" s="1">
        <v>3.7</v>
      </c>
      <c r="G75" s="88"/>
      <c r="H75" s="88" t="s">
        <v>59</v>
      </c>
      <c r="I75" s="85">
        <f t="shared" si="1"/>
        <v>-3.4166666666666665</v>
      </c>
      <c r="J75" s="178">
        <v>9</v>
      </c>
      <c r="K75" s="85">
        <f t="shared" si="2"/>
        <v>-3.4166666666666665</v>
      </c>
    </row>
    <row r="76" spans="1:11">
      <c r="A76" s="1">
        <v>2016</v>
      </c>
      <c r="B76" s="90"/>
      <c r="C76" s="1">
        <v>3.7</v>
      </c>
      <c r="D76" s="1">
        <v>3.7</v>
      </c>
      <c r="G76" s="88"/>
      <c r="H76" s="88" t="s">
        <v>59</v>
      </c>
      <c r="I76" s="85">
        <f t="shared" si="1"/>
        <v>-2.5</v>
      </c>
      <c r="J76" s="178">
        <v>12</v>
      </c>
      <c r="K76" s="85">
        <f t="shared" si="2"/>
        <v>-2.5</v>
      </c>
    </row>
    <row r="77" spans="1:11">
      <c r="C77" s="1">
        <v>3.6</v>
      </c>
      <c r="D77" s="1">
        <v>3.6</v>
      </c>
      <c r="H77" s="88" t="s">
        <v>59</v>
      </c>
      <c r="I77" s="85">
        <f t="shared" si="1"/>
        <v>-0.41666666666666669</v>
      </c>
      <c r="J77" s="178">
        <v>9</v>
      </c>
      <c r="K77" s="85">
        <f t="shared" si="2"/>
        <v>-0.41666666666666669</v>
      </c>
    </row>
    <row r="78" spans="1:11">
      <c r="C78" s="1">
        <v>3.7</v>
      </c>
      <c r="D78" s="1">
        <v>3.7</v>
      </c>
      <c r="G78" s="89">
        <v>2004</v>
      </c>
      <c r="H78" s="88" t="s">
        <v>59</v>
      </c>
      <c r="I78" s="85">
        <f t="shared" si="1"/>
        <v>1.5</v>
      </c>
      <c r="J78" s="178">
        <v>6</v>
      </c>
      <c r="K78" s="85">
        <f t="shared" si="2"/>
        <v>1.5</v>
      </c>
    </row>
    <row r="79" spans="1:11">
      <c r="C79" s="1">
        <v>3.8</v>
      </c>
      <c r="D79" s="1">
        <v>3.8</v>
      </c>
      <c r="G79" s="88"/>
      <c r="H79" s="88" t="s">
        <v>59</v>
      </c>
      <c r="I79" s="85">
        <f t="shared" si="1"/>
        <v>2.1666666666666665</v>
      </c>
      <c r="J79" s="178">
        <v>4</v>
      </c>
      <c r="K79" s="85">
        <f t="shared" si="2"/>
        <v>2.1666666666666665</v>
      </c>
    </row>
    <row r="80" spans="1:11">
      <c r="A80" s="1">
        <v>2017</v>
      </c>
      <c r="B80" s="90"/>
      <c r="C80" s="1">
        <v>3.6</v>
      </c>
      <c r="D80" s="1">
        <v>3.6</v>
      </c>
      <c r="G80" s="88"/>
      <c r="H80" s="88" t="s">
        <v>59</v>
      </c>
      <c r="I80" s="85">
        <f t="shared" si="1"/>
        <v>3.9166666666666665</v>
      </c>
      <c r="J80" s="178">
        <v>28</v>
      </c>
      <c r="K80" s="85">
        <f t="shared" si="2"/>
        <v>3.9166666666666665</v>
      </c>
    </row>
    <row r="81" spans="1:11">
      <c r="C81" s="1">
        <v>3.7</v>
      </c>
      <c r="D81" s="1">
        <v>3.7</v>
      </c>
      <c r="G81" s="88"/>
      <c r="H81" s="88" t="s">
        <v>59</v>
      </c>
      <c r="I81" s="85">
        <f t="shared" si="1"/>
        <v>4.666666666666667</v>
      </c>
      <c r="J81" s="178">
        <v>18</v>
      </c>
      <c r="K81" s="85">
        <f t="shared" si="2"/>
        <v>4.666666666666667</v>
      </c>
    </row>
    <row r="82" spans="1:11">
      <c r="C82" s="1">
        <v>4.0999999999999996</v>
      </c>
      <c r="D82" s="1">
        <v>4.0999999999999996</v>
      </c>
      <c r="G82" s="88"/>
      <c r="H82" s="88" t="s">
        <v>59</v>
      </c>
      <c r="I82" s="85">
        <f t="shared" ref="I82:I145" si="3">AVERAGE(J71:J82)</f>
        <v>6.666666666666667</v>
      </c>
      <c r="J82" s="178">
        <v>27</v>
      </c>
      <c r="K82" s="85">
        <f t="shared" ref="K82:K145" si="4">I82</f>
        <v>6.666666666666667</v>
      </c>
    </row>
    <row r="83" spans="1:11">
      <c r="C83" s="78">
        <v>4</v>
      </c>
      <c r="D83" s="1">
        <v>4</v>
      </c>
      <c r="G83" s="88"/>
      <c r="H83" s="88" t="s">
        <v>59</v>
      </c>
      <c r="I83" s="85">
        <f t="shared" si="3"/>
        <v>10.916666666666666</v>
      </c>
      <c r="J83" s="178">
        <v>23</v>
      </c>
      <c r="K83" s="85">
        <f t="shared" si="4"/>
        <v>10.916666666666666</v>
      </c>
    </row>
    <row r="84" spans="1:11">
      <c r="A84" s="1">
        <v>2018</v>
      </c>
      <c r="B84" s="87"/>
      <c r="C84" s="1">
        <v>4.0999999999999996</v>
      </c>
      <c r="D84" s="1">
        <v>4.0999999999999996</v>
      </c>
      <c r="G84" s="88"/>
      <c r="H84" s="88" t="s">
        <v>59</v>
      </c>
      <c r="I84" s="85">
        <f t="shared" si="3"/>
        <v>13.416666666666666</v>
      </c>
      <c r="J84" s="178">
        <v>26</v>
      </c>
      <c r="K84" s="85">
        <f t="shared" si="4"/>
        <v>13.416666666666666</v>
      </c>
    </row>
    <row r="85" spans="1:11">
      <c r="C85" s="1">
        <v>4.2</v>
      </c>
      <c r="D85" s="1">
        <v>4.2</v>
      </c>
      <c r="G85" s="88"/>
      <c r="H85" s="88" t="s">
        <v>59</v>
      </c>
      <c r="I85" s="85">
        <f t="shared" si="3"/>
        <v>15.583333333333334</v>
      </c>
      <c r="J85" s="178">
        <v>24</v>
      </c>
      <c r="K85" s="85">
        <f t="shared" si="4"/>
        <v>15.583333333333334</v>
      </c>
    </row>
    <row r="86" spans="1:11">
      <c r="C86" s="1">
        <v>4</v>
      </c>
      <c r="D86" s="1">
        <v>4</v>
      </c>
      <c r="G86" s="88"/>
      <c r="H86" s="88" t="s">
        <v>59</v>
      </c>
      <c r="I86" s="85">
        <f t="shared" si="3"/>
        <v>17.083333333333332</v>
      </c>
      <c r="J86" s="178">
        <v>19</v>
      </c>
      <c r="K86" s="85">
        <f t="shared" si="4"/>
        <v>17.083333333333332</v>
      </c>
    </row>
    <row r="87" spans="1:11">
      <c r="C87" s="1">
        <v>4.3</v>
      </c>
      <c r="D87" s="1">
        <v>4.3</v>
      </c>
      <c r="G87" s="88"/>
      <c r="H87" s="88" t="s">
        <v>59</v>
      </c>
      <c r="I87" s="85">
        <f t="shared" si="3"/>
        <v>17.166666666666668</v>
      </c>
      <c r="J87" s="178">
        <v>10</v>
      </c>
      <c r="K87" s="85">
        <f t="shared" si="4"/>
        <v>17.166666666666668</v>
      </c>
    </row>
    <row r="88" spans="1:11">
      <c r="A88" s="1">
        <v>2019</v>
      </c>
      <c r="B88" s="90"/>
      <c r="C88" s="1">
        <v>4.2</v>
      </c>
      <c r="D88" s="1">
        <v>4.2</v>
      </c>
      <c r="G88" s="88"/>
      <c r="H88" s="88" t="s">
        <v>59</v>
      </c>
      <c r="I88" s="85">
        <f t="shared" si="3"/>
        <v>16.833333333333332</v>
      </c>
      <c r="J88" s="178">
        <v>8</v>
      </c>
      <c r="K88" s="85">
        <f t="shared" si="4"/>
        <v>16.833333333333332</v>
      </c>
    </row>
    <row r="89" spans="1:11">
      <c r="C89" s="1">
        <v>4.0999999999999996</v>
      </c>
      <c r="D89" s="1">
        <v>4.0999999999999996</v>
      </c>
      <c r="H89" s="88" t="s">
        <v>59</v>
      </c>
      <c r="I89" s="85">
        <f t="shared" si="3"/>
        <v>16.083333333333332</v>
      </c>
      <c r="J89" s="178">
        <v>0</v>
      </c>
      <c r="K89" s="85">
        <f t="shared" si="4"/>
        <v>16.083333333333332</v>
      </c>
    </row>
    <row r="90" spans="1:11">
      <c r="C90" s="1">
        <v>4.2</v>
      </c>
      <c r="D90" s="1">
        <v>4.2</v>
      </c>
      <c r="G90" s="88">
        <v>2005</v>
      </c>
      <c r="H90" s="88" t="s">
        <v>59</v>
      </c>
      <c r="I90" s="85">
        <f t="shared" si="3"/>
        <v>14.916666666666666</v>
      </c>
      <c r="J90" s="178">
        <v>-8</v>
      </c>
      <c r="K90" s="85">
        <f t="shared" si="4"/>
        <v>14.916666666666666</v>
      </c>
    </row>
    <row r="91" spans="1:11">
      <c r="C91" s="1">
        <v>4.2</v>
      </c>
      <c r="D91" s="1">
        <v>4.2</v>
      </c>
      <c r="G91" s="88"/>
      <c r="H91" s="88" t="s">
        <v>59</v>
      </c>
      <c r="I91" s="85">
        <f t="shared" si="3"/>
        <v>14.5</v>
      </c>
      <c r="J91" s="178">
        <v>-1</v>
      </c>
      <c r="K91" s="85">
        <f t="shared" si="4"/>
        <v>14.5</v>
      </c>
    </row>
    <row r="92" spans="1:11">
      <c r="A92" s="1">
        <v>2020</v>
      </c>
      <c r="B92" s="87"/>
      <c r="C92" s="1">
        <v>4.2</v>
      </c>
      <c r="D92" s="1">
        <v>4.2</v>
      </c>
      <c r="G92" s="88"/>
      <c r="H92" s="88" t="s">
        <v>59</v>
      </c>
      <c r="I92" s="85">
        <f t="shared" si="3"/>
        <v>10.5</v>
      </c>
      <c r="J92" s="178">
        <v>-20</v>
      </c>
      <c r="K92" s="85">
        <f t="shared" si="4"/>
        <v>10.5</v>
      </c>
    </row>
    <row r="93" spans="1:11">
      <c r="B93" s="87"/>
      <c r="C93" s="1">
        <v>4.5</v>
      </c>
      <c r="D93" s="1">
        <v>4.5</v>
      </c>
      <c r="G93" s="88"/>
      <c r="H93" s="88" t="s">
        <v>59</v>
      </c>
      <c r="I93" s="85">
        <f t="shared" si="3"/>
        <v>7.833333333333333</v>
      </c>
      <c r="J93" s="178">
        <v>-14</v>
      </c>
      <c r="K93" s="85">
        <f t="shared" si="4"/>
        <v>7.833333333333333</v>
      </c>
    </row>
    <row r="94" spans="1:11">
      <c r="B94" s="87"/>
      <c r="C94" s="1">
        <v>4.5</v>
      </c>
      <c r="D94" s="1">
        <v>4.5</v>
      </c>
      <c r="G94" s="88"/>
      <c r="H94" s="88" t="s">
        <v>59</v>
      </c>
      <c r="I94" s="85">
        <f t="shared" si="3"/>
        <v>3.0833333333333335</v>
      </c>
      <c r="J94" s="178">
        <v>-30</v>
      </c>
      <c r="K94" s="85">
        <f t="shared" si="4"/>
        <v>3.0833333333333335</v>
      </c>
    </row>
    <row r="95" spans="1:11">
      <c r="B95" s="87"/>
      <c r="C95" s="1">
        <v>4.2</v>
      </c>
      <c r="D95" s="1">
        <v>4.2</v>
      </c>
      <c r="G95" s="88"/>
      <c r="H95" s="88" t="s">
        <v>59</v>
      </c>
      <c r="I95" s="85">
        <f t="shared" si="3"/>
        <v>0.91666666666666663</v>
      </c>
      <c r="J95" s="178">
        <v>-3</v>
      </c>
      <c r="K95" s="85">
        <f t="shared" si="4"/>
        <v>0.91666666666666663</v>
      </c>
    </row>
    <row r="96" spans="1:11">
      <c r="B96" s="87"/>
      <c r="C96" s="1">
        <v>5.3</v>
      </c>
      <c r="D96" s="1">
        <v>5.3</v>
      </c>
      <c r="G96" s="88"/>
      <c r="H96" s="88" t="s">
        <v>59</v>
      </c>
      <c r="I96" s="85">
        <f t="shared" si="3"/>
        <v>-1.1666666666666667</v>
      </c>
      <c r="J96" s="178">
        <v>1</v>
      </c>
      <c r="K96" s="85">
        <f t="shared" si="4"/>
        <v>-1.1666666666666667</v>
      </c>
    </row>
    <row r="97" spans="1:11">
      <c r="B97" s="87"/>
      <c r="C97" s="1">
        <v>4.7</v>
      </c>
      <c r="D97" s="1">
        <v>4.7</v>
      </c>
      <c r="G97" s="88"/>
      <c r="H97" s="88" t="s">
        <v>59</v>
      </c>
      <c r="I97" s="85">
        <f t="shared" si="3"/>
        <v>-2.8333333333333335</v>
      </c>
      <c r="J97" s="178">
        <v>4</v>
      </c>
      <c r="K97" s="85">
        <f t="shared" si="4"/>
        <v>-2.8333333333333335</v>
      </c>
    </row>
    <row r="98" spans="1:11">
      <c r="B98" s="87"/>
      <c r="C98" s="1">
        <v>5</v>
      </c>
      <c r="D98" s="1">
        <v>5</v>
      </c>
      <c r="G98" s="88"/>
      <c r="H98" s="88" t="s">
        <v>59</v>
      </c>
      <c r="I98" s="85">
        <f t="shared" si="3"/>
        <v>-3.5</v>
      </c>
      <c r="J98" s="178">
        <v>11</v>
      </c>
      <c r="K98" s="85">
        <f t="shared" si="4"/>
        <v>-3.5</v>
      </c>
    </row>
    <row r="99" spans="1:11">
      <c r="B99" s="87"/>
      <c r="C99" s="1">
        <v>5.5</v>
      </c>
      <c r="D99" s="1">
        <v>5.5</v>
      </c>
      <c r="G99" s="88"/>
      <c r="H99" s="88" t="s">
        <v>59</v>
      </c>
      <c r="I99" s="85">
        <f t="shared" si="3"/>
        <v>-4.083333333333333</v>
      </c>
      <c r="J99" s="178">
        <v>3</v>
      </c>
      <c r="K99" s="85">
        <f t="shared" si="4"/>
        <v>-4.083333333333333</v>
      </c>
    </row>
    <row r="100" spans="1:11">
      <c r="B100" s="87"/>
      <c r="C100" s="1">
        <v>5.3</v>
      </c>
      <c r="D100" s="1">
        <v>5.3</v>
      </c>
      <c r="G100" s="88"/>
      <c r="H100" s="88" t="s">
        <v>59</v>
      </c>
      <c r="I100" s="85">
        <f t="shared" si="3"/>
        <v>-4.5</v>
      </c>
      <c r="J100" s="178">
        <v>3</v>
      </c>
      <c r="K100" s="85">
        <f t="shared" si="4"/>
        <v>-4.5</v>
      </c>
    </row>
    <row r="101" spans="1:11">
      <c r="B101" s="87"/>
      <c r="C101" s="1">
        <v>5.3</v>
      </c>
      <c r="D101" s="1">
        <v>5.3</v>
      </c>
      <c r="H101" s="88" t="s">
        <v>59</v>
      </c>
      <c r="I101" s="85">
        <f t="shared" si="3"/>
        <v>-4.333333333333333</v>
      </c>
      <c r="J101" s="178">
        <v>2</v>
      </c>
      <c r="K101" s="85">
        <f t="shared" si="4"/>
        <v>-4.333333333333333</v>
      </c>
    </row>
    <row r="102" spans="1:11">
      <c r="B102" s="87"/>
      <c r="C102" s="1">
        <v>4.5999999999999996</v>
      </c>
      <c r="D102" s="1">
        <v>4.5999999999999996</v>
      </c>
      <c r="G102" s="88">
        <v>2006</v>
      </c>
      <c r="H102" s="88" t="s">
        <v>59</v>
      </c>
      <c r="I102" s="85">
        <f t="shared" si="3"/>
        <v>-4.666666666666667</v>
      </c>
      <c r="J102" s="178">
        <v>-12</v>
      </c>
      <c r="K102" s="85">
        <f t="shared" si="4"/>
        <v>-4.666666666666667</v>
      </c>
    </row>
    <row r="103" spans="1:11">
      <c r="B103" s="87"/>
      <c r="C103" s="1">
        <v>4.4000000000000004</v>
      </c>
      <c r="D103" s="1">
        <v>4.4000000000000004</v>
      </c>
      <c r="G103" s="88"/>
      <c r="H103" s="88" t="s">
        <v>59</v>
      </c>
      <c r="I103" s="85">
        <f t="shared" si="3"/>
        <v>-5</v>
      </c>
      <c r="J103" s="178">
        <v>-5</v>
      </c>
      <c r="K103" s="85">
        <f t="shared" si="4"/>
        <v>-5</v>
      </c>
    </row>
    <row r="104" spans="1:11">
      <c r="A104" s="1">
        <v>2021</v>
      </c>
      <c r="B104" s="87"/>
      <c r="C104" s="1">
        <v>5.5</v>
      </c>
      <c r="D104" s="1">
        <v>5.5</v>
      </c>
      <c r="G104" s="88"/>
      <c r="H104" s="88" t="s">
        <v>59</v>
      </c>
      <c r="I104" s="85">
        <f t="shared" si="3"/>
        <v>-3.3333333333333335</v>
      </c>
      <c r="J104" s="178">
        <v>0</v>
      </c>
      <c r="K104" s="85">
        <f t="shared" si="4"/>
        <v>-3.3333333333333335</v>
      </c>
    </row>
    <row r="105" spans="1:11">
      <c r="B105" s="87"/>
      <c r="C105" s="1">
        <v>4.7</v>
      </c>
      <c r="D105" s="1">
        <v>4.7</v>
      </c>
      <c r="G105" s="88"/>
      <c r="H105" s="88" t="s">
        <v>59</v>
      </c>
      <c r="I105" s="85">
        <f t="shared" si="3"/>
        <v>-1.5</v>
      </c>
      <c r="J105" s="178">
        <v>8</v>
      </c>
      <c r="K105" s="85">
        <f t="shared" si="4"/>
        <v>-1.5</v>
      </c>
    </row>
    <row r="106" spans="1:11">
      <c r="B106" s="87"/>
      <c r="C106" s="1">
        <v>4.7</v>
      </c>
      <c r="D106" s="1">
        <v>4.7</v>
      </c>
      <c r="G106" s="88"/>
      <c r="H106" s="88" t="s">
        <v>59</v>
      </c>
      <c r="I106" s="85">
        <f t="shared" si="3"/>
        <v>1</v>
      </c>
      <c r="J106" s="178">
        <v>0</v>
      </c>
      <c r="K106" s="85">
        <f t="shared" si="4"/>
        <v>1</v>
      </c>
    </row>
    <row r="107" spans="1:11">
      <c r="B107" s="87"/>
      <c r="C107" s="1">
        <v>4.8</v>
      </c>
      <c r="D107" s="1">
        <v>4.8</v>
      </c>
      <c r="G107" s="88"/>
      <c r="H107" s="88" t="s">
        <v>59</v>
      </c>
      <c r="I107" s="85">
        <f t="shared" si="3"/>
        <v>1.75</v>
      </c>
      <c r="J107" s="178">
        <v>6</v>
      </c>
      <c r="K107" s="85">
        <f t="shared" si="4"/>
        <v>1.75</v>
      </c>
    </row>
    <row r="108" spans="1:11">
      <c r="B108" s="87"/>
      <c r="C108" s="1">
        <v>4.8</v>
      </c>
      <c r="D108" s="1">
        <v>4.8</v>
      </c>
      <c r="G108" s="88"/>
      <c r="H108" s="88" t="s">
        <v>59</v>
      </c>
      <c r="I108" s="85">
        <f t="shared" si="3"/>
        <v>2.25</v>
      </c>
      <c r="J108" s="178">
        <v>7</v>
      </c>
      <c r="K108" s="85">
        <f t="shared" si="4"/>
        <v>2.25</v>
      </c>
    </row>
    <row r="109" spans="1:11">
      <c r="B109" s="87"/>
      <c r="C109" s="1">
        <v>4.7</v>
      </c>
      <c r="D109" s="1">
        <v>4.7</v>
      </c>
      <c r="G109" s="88"/>
      <c r="H109" s="88" t="s">
        <v>59</v>
      </c>
      <c r="I109" s="85">
        <f t="shared" si="3"/>
        <v>1.5833333333333333</v>
      </c>
      <c r="J109" s="178">
        <v>-4</v>
      </c>
      <c r="K109" s="85">
        <f t="shared" si="4"/>
        <v>1.5833333333333333</v>
      </c>
    </row>
    <row r="110" spans="1:11">
      <c r="B110" s="87"/>
      <c r="C110" s="1">
        <v>4.5</v>
      </c>
      <c r="D110" s="1">
        <v>4.5</v>
      </c>
      <c r="G110" s="88"/>
      <c r="H110" s="88" t="s">
        <v>59</v>
      </c>
      <c r="I110" s="85">
        <f t="shared" si="3"/>
        <v>1.3333333333333333</v>
      </c>
      <c r="J110" s="178">
        <v>8</v>
      </c>
      <c r="K110" s="85">
        <f t="shared" si="4"/>
        <v>1.3333333333333333</v>
      </c>
    </row>
    <row r="111" spans="1:11">
      <c r="B111" s="87"/>
      <c r="C111" s="1">
        <v>5</v>
      </c>
      <c r="D111" s="1">
        <v>5</v>
      </c>
      <c r="G111" s="88"/>
      <c r="H111" s="88" t="s">
        <v>59</v>
      </c>
      <c r="I111" s="85">
        <f t="shared" si="3"/>
        <v>1.6666666666666667</v>
      </c>
      <c r="J111" s="178">
        <v>7</v>
      </c>
      <c r="K111" s="85">
        <f t="shared" si="4"/>
        <v>1.6666666666666667</v>
      </c>
    </row>
    <row r="112" spans="1:11">
      <c r="B112" s="87"/>
      <c r="C112" s="1">
        <v>4.9000000000000004</v>
      </c>
      <c r="D112" s="1">
        <v>4.9000000000000004</v>
      </c>
      <c r="G112" s="88"/>
      <c r="H112" s="88" t="s">
        <v>59</v>
      </c>
      <c r="I112" s="85">
        <f t="shared" si="3"/>
        <v>2.3333333333333335</v>
      </c>
      <c r="J112" s="178">
        <v>11</v>
      </c>
      <c r="K112" s="85">
        <f t="shared" si="4"/>
        <v>2.3333333333333335</v>
      </c>
    </row>
    <row r="113" spans="1:11">
      <c r="B113" s="87"/>
      <c r="C113" s="1">
        <v>4.5</v>
      </c>
      <c r="D113" s="1">
        <v>4.5</v>
      </c>
      <c r="H113" s="88" t="s">
        <v>59</v>
      </c>
      <c r="I113" s="85">
        <f t="shared" si="3"/>
        <v>3.25</v>
      </c>
      <c r="J113" s="178">
        <v>13</v>
      </c>
      <c r="K113" s="85">
        <f t="shared" si="4"/>
        <v>3.25</v>
      </c>
    </row>
    <row r="114" spans="1:11">
      <c r="B114" s="87"/>
      <c r="C114" s="1">
        <v>6.6</v>
      </c>
      <c r="D114" s="1">
        <v>6.6</v>
      </c>
      <c r="G114" s="88">
        <v>2007</v>
      </c>
      <c r="H114" s="88" t="s">
        <v>59</v>
      </c>
      <c r="I114" s="85">
        <f t="shared" si="3"/>
        <v>4.333333333333333</v>
      </c>
      <c r="J114" s="178">
        <v>1</v>
      </c>
      <c r="K114" s="85">
        <f t="shared" si="4"/>
        <v>4.333333333333333</v>
      </c>
    </row>
    <row r="115" spans="1:11">
      <c r="B115" s="87"/>
      <c r="C115" s="1">
        <v>6.1</v>
      </c>
      <c r="D115" s="1">
        <v>6.1</v>
      </c>
      <c r="G115" s="88"/>
      <c r="H115" s="88" t="s">
        <v>59</v>
      </c>
      <c r="I115" s="85">
        <f t="shared" si="3"/>
        <v>7.416666666666667</v>
      </c>
      <c r="J115" s="178">
        <v>32</v>
      </c>
      <c r="K115" s="85">
        <f t="shared" si="4"/>
        <v>7.416666666666667</v>
      </c>
    </row>
    <row r="116" spans="1:11">
      <c r="A116" s="1">
        <v>2022</v>
      </c>
      <c r="B116" s="87"/>
      <c r="C116" s="1">
        <v>4.8</v>
      </c>
      <c r="D116" s="1">
        <v>4.8</v>
      </c>
      <c r="G116" s="88"/>
      <c r="H116" s="88" t="s">
        <v>59</v>
      </c>
      <c r="I116" s="85">
        <f t="shared" si="3"/>
        <v>8.9166666666666661</v>
      </c>
      <c r="J116" s="178">
        <v>18</v>
      </c>
      <c r="K116" s="85">
        <f t="shared" si="4"/>
        <v>8.9166666666666661</v>
      </c>
    </row>
    <row r="117" spans="1:11">
      <c r="B117" s="87"/>
      <c r="C117" s="1">
        <v>5</v>
      </c>
      <c r="D117" s="1">
        <v>5</v>
      </c>
      <c r="G117" s="88"/>
      <c r="H117" s="88" t="s">
        <v>59</v>
      </c>
      <c r="I117" s="85">
        <f t="shared" si="3"/>
        <v>8.9166666666666661</v>
      </c>
      <c r="J117" s="178">
        <v>8</v>
      </c>
      <c r="K117" s="85">
        <f t="shared" si="4"/>
        <v>8.9166666666666661</v>
      </c>
    </row>
    <row r="118" spans="1:11">
      <c r="B118" s="87"/>
      <c r="C118" s="1">
        <v>4.9000000000000004</v>
      </c>
      <c r="D118" s="1">
        <v>4.9000000000000004</v>
      </c>
      <c r="G118" s="88"/>
      <c r="H118" s="88" t="s">
        <v>59</v>
      </c>
      <c r="I118" s="85">
        <f t="shared" si="3"/>
        <v>9.8333333333333339</v>
      </c>
      <c r="J118" s="178">
        <v>11</v>
      </c>
      <c r="K118" s="85">
        <f t="shared" si="4"/>
        <v>9.8333333333333339</v>
      </c>
    </row>
    <row r="119" spans="1:11">
      <c r="B119" s="87"/>
      <c r="C119" s="1">
        <v>4.9000000000000004</v>
      </c>
      <c r="D119" s="1">
        <v>4.9000000000000004</v>
      </c>
      <c r="G119" s="88"/>
      <c r="H119" s="88" t="s">
        <v>59</v>
      </c>
      <c r="I119" s="85">
        <f t="shared" si="3"/>
        <v>10.583333333333334</v>
      </c>
      <c r="J119" s="178">
        <v>15</v>
      </c>
      <c r="K119" s="85">
        <f t="shared" si="4"/>
        <v>10.583333333333334</v>
      </c>
    </row>
    <row r="120" spans="1:11">
      <c r="B120" s="87"/>
      <c r="C120" s="1">
        <v>6.6</v>
      </c>
      <c r="D120" s="1">
        <v>6.6</v>
      </c>
      <c r="G120" s="88"/>
      <c r="H120" s="88" t="s">
        <v>59</v>
      </c>
      <c r="I120" s="85">
        <f t="shared" si="3"/>
        <v>10.833333333333334</v>
      </c>
      <c r="J120" s="178">
        <v>10</v>
      </c>
      <c r="K120" s="85">
        <f t="shared" si="4"/>
        <v>10.833333333333334</v>
      </c>
    </row>
    <row r="121" spans="1:11">
      <c r="B121" s="87"/>
      <c r="C121" s="1">
        <v>4.9000000000000004</v>
      </c>
      <c r="D121" s="1">
        <v>4.9000000000000004</v>
      </c>
      <c r="G121" s="88"/>
      <c r="H121" s="88" t="s">
        <v>59</v>
      </c>
      <c r="I121" s="85">
        <f t="shared" si="3"/>
        <v>11.583333333333334</v>
      </c>
      <c r="J121" s="178">
        <v>5</v>
      </c>
      <c r="K121" s="85">
        <f t="shared" si="4"/>
        <v>11.583333333333334</v>
      </c>
    </row>
    <row r="122" spans="1:11">
      <c r="B122" s="87"/>
      <c r="C122" s="1">
        <v>4.8</v>
      </c>
      <c r="D122" s="1">
        <v>4.8</v>
      </c>
      <c r="G122" s="88"/>
      <c r="H122" s="88" t="s">
        <v>59</v>
      </c>
      <c r="I122" s="85">
        <f t="shared" si="3"/>
        <v>11</v>
      </c>
      <c r="J122" s="178">
        <v>1</v>
      </c>
      <c r="K122" s="85">
        <f t="shared" si="4"/>
        <v>11</v>
      </c>
    </row>
    <row r="123" spans="1:11">
      <c r="B123" s="87"/>
      <c r="C123" s="1">
        <v>4.5999999999999996</v>
      </c>
      <c r="D123" s="1">
        <v>4.5999999999999996</v>
      </c>
      <c r="G123" s="88"/>
      <c r="H123" s="88" t="s">
        <v>59</v>
      </c>
      <c r="I123" s="85">
        <f t="shared" si="3"/>
        <v>11</v>
      </c>
      <c r="J123" s="178">
        <v>7</v>
      </c>
      <c r="K123" s="85">
        <f t="shared" si="4"/>
        <v>11</v>
      </c>
    </row>
    <row r="124" spans="1:11">
      <c r="B124" s="87"/>
      <c r="C124" s="1">
        <v>4.9000000000000004</v>
      </c>
      <c r="D124" s="1">
        <v>4.9000000000000004</v>
      </c>
      <c r="G124" s="88"/>
      <c r="H124" s="88" t="s">
        <v>59</v>
      </c>
      <c r="I124" s="85">
        <f t="shared" si="3"/>
        <v>10.666666666666666</v>
      </c>
      <c r="J124" s="178">
        <v>7</v>
      </c>
      <c r="K124" s="85">
        <f t="shared" si="4"/>
        <v>10.666666666666666</v>
      </c>
    </row>
    <row r="125" spans="1:11">
      <c r="B125" s="87"/>
      <c r="C125" s="1">
        <v>4.5999999999999996</v>
      </c>
      <c r="D125" s="1">
        <v>4.5999999999999996</v>
      </c>
      <c r="H125" s="88" t="s">
        <v>59</v>
      </c>
      <c r="I125" s="85">
        <f t="shared" si="3"/>
        <v>10.083333333333334</v>
      </c>
      <c r="J125" s="178">
        <v>6</v>
      </c>
      <c r="K125" s="85">
        <f t="shared" si="4"/>
        <v>10.083333333333334</v>
      </c>
    </row>
    <row r="126" spans="1:11">
      <c r="B126" s="87"/>
      <c r="C126" s="1">
        <v>4.5999999999999996</v>
      </c>
      <c r="D126" s="1">
        <v>4.5999999999999996</v>
      </c>
      <c r="G126" s="88">
        <v>2008</v>
      </c>
      <c r="H126" s="88" t="s">
        <v>59</v>
      </c>
      <c r="I126" s="85">
        <f t="shared" si="3"/>
        <v>9.4166666666666661</v>
      </c>
      <c r="J126" s="178">
        <v>-7</v>
      </c>
      <c r="K126" s="85">
        <f t="shared" si="4"/>
        <v>9.4166666666666661</v>
      </c>
    </row>
    <row r="127" spans="1:11">
      <c r="B127" s="87"/>
      <c r="C127" s="1">
        <v>4.9000000000000004</v>
      </c>
      <c r="D127" s="1">
        <v>4.9000000000000004</v>
      </c>
      <c r="G127" s="88"/>
      <c r="H127" s="88" t="s">
        <v>59</v>
      </c>
      <c r="I127" s="85">
        <f t="shared" si="3"/>
        <v>7.083333333333333</v>
      </c>
      <c r="J127" s="178">
        <v>4</v>
      </c>
      <c r="K127" s="85">
        <f t="shared" si="4"/>
        <v>7.083333333333333</v>
      </c>
    </row>
    <row r="128" spans="1:11">
      <c r="A128" s="1">
        <v>2023</v>
      </c>
      <c r="B128" s="87"/>
      <c r="C128" s="1">
        <v>5</v>
      </c>
      <c r="D128" s="1">
        <v>5</v>
      </c>
      <c r="G128" s="88"/>
      <c r="H128" s="88" t="s">
        <v>59</v>
      </c>
      <c r="I128" s="85">
        <f t="shared" si="3"/>
        <v>7</v>
      </c>
      <c r="J128" s="178">
        <v>17</v>
      </c>
      <c r="K128" s="85">
        <f t="shared" si="4"/>
        <v>7</v>
      </c>
    </row>
    <row r="129" spans="1:11">
      <c r="B129" s="87"/>
      <c r="C129" s="1">
        <v>4.8</v>
      </c>
      <c r="D129" s="1">
        <v>4.8</v>
      </c>
      <c r="G129" s="88"/>
      <c r="H129" s="88" t="s">
        <v>59</v>
      </c>
      <c r="I129" s="85">
        <f t="shared" si="3"/>
        <v>7.75</v>
      </c>
      <c r="J129" s="178">
        <v>17</v>
      </c>
      <c r="K129" s="85">
        <f t="shared" si="4"/>
        <v>7.75</v>
      </c>
    </row>
    <row r="130" spans="1:11">
      <c r="B130" s="87"/>
      <c r="C130" s="1">
        <v>5</v>
      </c>
      <c r="D130" s="1">
        <v>5</v>
      </c>
      <c r="G130" s="88"/>
      <c r="H130" s="88" t="s">
        <v>59</v>
      </c>
      <c r="I130" s="85">
        <f t="shared" si="3"/>
        <v>8.0833333333333339</v>
      </c>
      <c r="J130" s="178">
        <v>15</v>
      </c>
      <c r="K130" s="85">
        <f t="shared" si="4"/>
        <v>8.0833333333333339</v>
      </c>
    </row>
    <row r="131" spans="1:11">
      <c r="B131" s="87"/>
      <c r="C131" s="1">
        <v>4.7</v>
      </c>
      <c r="D131" s="1">
        <v>4.7</v>
      </c>
      <c r="G131" s="88"/>
      <c r="H131" s="88" t="s">
        <v>59</v>
      </c>
      <c r="I131" s="85">
        <f t="shared" si="3"/>
        <v>7.083333333333333</v>
      </c>
      <c r="J131" s="178">
        <v>3</v>
      </c>
      <c r="K131" s="85">
        <f t="shared" si="4"/>
        <v>7.083333333333333</v>
      </c>
    </row>
    <row r="132" spans="1:11">
      <c r="B132" s="87"/>
      <c r="C132" s="1">
        <v>4.9000000000000004</v>
      </c>
      <c r="D132" s="1">
        <v>4.9000000000000004</v>
      </c>
      <c r="G132" s="88"/>
      <c r="H132" s="88" t="s">
        <v>59</v>
      </c>
      <c r="I132" s="85">
        <f t="shared" si="3"/>
        <v>5.916666666666667</v>
      </c>
      <c r="J132" s="178">
        <v>-4</v>
      </c>
      <c r="K132" s="85">
        <f t="shared" si="4"/>
        <v>5.916666666666667</v>
      </c>
    </row>
    <row r="133" spans="1:11">
      <c r="B133" s="87"/>
      <c r="C133" s="1">
        <v>5.0999999999999996</v>
      </c>
      <c r="D133" s="1">
        <v>5.0999999999999996</v>
      </c>
      <c r="G133" s="88"/>
      <c r="H133" s="88" t="s">
        <v>59</v>
      </c>
      <c r="I133" s="85">
        <f t="shared" si="3"/>
        <v>5.166666666666667</v>
      </c>
      <c r="J133" s="178">
        <v>-4</v>
      </c>
      <c r="K133" s="85">
        <f t="shared" si="4"/>
        <v>5.166666666666667</v>
      </c>
    </row>
    <row r="134" spans="1:11">
      <c r="B134" s="87"/>
      <c r="C134" s="1">
        <v>5.0999999999999996</v>
      </c>
      <c r="D134" s="1">
        <v>5.0999999999999996</v>
      </c>
      <c r="G134" s="88"/>
      <c r="H134" s="88" t="s">
        <v>59</v>
      </c>
      <c r="I134" s="85">
        <f t="shared" si="3"/>
        <v>4.583333333333333</v>
      </c>
      <c r="J134" s="178">
        <v>-6</v>
      </c>
      <c r="K134" s="85">
        <f t="shared" si="4"/>
        <v>4.583333333333333</v>
      </c>
    </row>
    <row r="135" spans="1:11">
      <c r="B135" s="87"/>
      <c r="C135" s="1">
        <v>4.7</v>
      </c>
      <c r="D135" s="1">
        <v>4.7</v>
      </c>
      <c r="G135" s="88"/>
      <c r="H135" s="88" t="s">
        <v>59</v>
      </c>
      <c r="I135" s="85">
        <f t="shared" si="3"/>
        <v>1.5</v>
      </c>
      <c r="J135" s="178">
        <v>-30</v>
      </c>
      <c r="K135" s="85">
        <f t="shared" si="4"/>
        <v>1.5</v>
      </c>
    </row>
    <row r="136" spans="1:11">
      <c r="B136" s="87"/>
      <c r="C136" s="1">
        <v>5.3</v>
      </c>
      <c r="D136" s="1">
        <v>5.3</v>
      </c>
      <c r="G136" s="88"/>
      <c r="H136" s="88" t="s">
        <v>59</v>
      </c>
      <c r="I136" s="85">
        <f t="shared" si="3"/>
        <v>-3.25</v>
      </c>
      <c r="J136" s="178">
        <v>-50</v>
      </c>
      <c r="K136" s="85">
        <f t="shared" si="4"/>
        <v>-3.25</v>
      </c>
    </row>
    <row r="137" spans="1:11">
      <c r="B137" s="87"/>
      <c r="C137" s="1">
        <v>5.5</v>
      </c>
      <c r="D137" s="1">
        <v>5.5</v>
      </c>
      <c r="H137" s="88" t="s">
        <v>59</v>
      </c>
      <c r="I137" s="85">
        <f t="shared" si="3"/>
        <v>-9.1666666666666661</v>
      </c>
      <c r="J137" s="178">
        <v>-65</v>
      </c>
      <c r="K137" s="85">
        <f t="shared" si="4"/>
        <v>-9.1666666666666661</v>
      </c>
    </row>
    <row r="138" spans="1:11">
      <c r="B138" s="87"/>
      <c r="C138" s="1">
        <v>4.5999999999999996</v>
      </c>
      <c r="D138" s="1">
        <v>4.5999999999999996</v>
      </c>
      <c r="G138" s="88">
        <v>2009</v>
      </c>
      <c r="H138" s="88" t="s">
        <v>59</v>
      </c>
      <c r="I138" s="85">
        <f t="shared" si="3"/>
        <v>-14.5</v>
      </c>
      <c r="J138" s="178">
        <v>-71</v>
      </c>
      <c r="K138" s="85">
        <f t="shared" si="4"/>
        <v>-14.5</v>
      </c>
    </row>
    <row r="139" spans="1:11">
      <c r="B139" s="87"/>
      <c r="C139" s="1">
        <v>4.8</v>
      </c>
      <c r="D139" s="1">
        <v>4.8</v>
      </c>
      <c r="G139" s="88"/>
      <c r="H139" s="88" t="s">
        <v>59</v>
      </c>
      <c r="I139" s="85">
        <f t="shared" si="3"/>
        <v>-19.25</v>
      </c>
      <c r="J139" s="178">
        <v>-53</v>
      </c>
      <c r="K139" s="85">
        <f t="shared" si="4"/>
        <v>-19.25</v>
      </c>
    </row>
    <row r="140" spans="1:11">
      <c r="A140" s="1">
        <v>2024</v>
      </c>
      <c r="C140" s="1">
        <v>5.0999999999999996</v>
      </c>
      <c r="D140" s="1">
        <v>5.0999999999999996</v>
      </c>
      <c r="G140" s="88"/>
      <c r="H140" s="88" t="s">
        <v>59</v>
      </c>
      <c r="I140" s="85">
        <f t="shared" si="3"/>
        <v>-25.083333333333332</v>
      </c>
      <c r="J140" s="178">
        <v>-53</v>
      </c>
      <c r="K140" s="85">
        <f t="shared" si="4"/>
        <v>-25.083333333333332</v>
      </c>
    </row>
    <row r="141" spans="1:11">
      <c r="C141" s="1">
        <v>5</v>
      </c>
      <c r="D141" s="1">
        <v>5</v>
      </c>
      <c r="G141" s="88"/>
      <c r="H141" s="88" t="s">
        <v>59</v>
      </c>
      <c r="I141" s="85">
        <f t="shared" si="3"/>
        <v>-30.916666666666668</v>
      </c>
      <c r="J141" s="178">
        <v>-53</v>
      </c>
      <c r="K141" s="85">
        <f t="shared" si="4"/>
        <v>-30.916666666666668</v>
      </c>
    </row>
    <row r="142" spans="1:11">
      <c r="C142" s="1">
        <v>5</v>
      </c>
      <c r="D142" s="1">
        <v>5</v>
      </c>
      <c r="G142" s="88"/>
      <c r="H142" s="88" t="s">
        <v>59</v>
      </c>
      <c r="I142" s="85">
        <f t="shared" si="3"/>
        <v>-35.916666666666664</v>
      </c>
      <c r="J142" s="178">
        <v>-45</v>
      </c>
      <c r="K142" s="85">
        <f t="shared" si="4"/>
        <v>-35.916666666666664</v>
      </c>
    </row>
    <row r="143" spans="1:11">
      <c r="C143" s="1">
        <v>4.9000000000000004</v>
      </c>
      <c r="D143" s="1">
        <v>4.9000000000000004</v>
      </c>
      <c r="G143" s="88"/>
      <c r="H143" s="88" t="s">
        <v>59</v>
      </c>
      <c r="I143" s="85">
        <f t="shared" si="3"/>
        <v>-38.166666666666664</v>
      </c>
      <c r="J143" s="178">
        <v>-24</v>
      </c>
      <c r="K143" s="85">
        <f t="shared" si="4"/>
        <v>-38.166666666666664</v>
      </c>
    </row>
    <row r="144" spans="1:11">
      <c r="C144" s="1">
        <v>5.2</v>
      </c>
      <c r="D144" s="1">
        <v>5.2</v>
      </c>
      <c r="G144" s="88"/>
      <c r="H144" s="88" t="s">
        <v>59</v>
      </c>
      <c r="I144" s="85">
        <f t="shared" si="3"/>
        <v>-39.333333333333336</v>
      </c>
      <c r="J144" s="178">
        <v>-18</v>
      </c>
      <c r="K144" s="85">
        <f t="shared" si="4"/>
        <v>-39.333333333333336</v>
      </c>
    </row>
    <row r="145" spans="1:11">
      <c r="C145" s="1">
        <v>4.8</v>
      </c>
      <c r="D145" s="1">
        <v>4.8</v>
      </c>
      <c r="G145" s="88"/>
      <c r="H145" s="88" t="s">
        <v>59</v>
      </c>
      <c r="I145" s="85">
        <f t="shared" si="3"/>
        <v>-39.916666666666664</v>
      </c>
      <c r="J145" s="178">
        <v>-11</v>
      </c>
      <c r="K145" s="85">
        <f t="shared" si="4"/>
        <v>-39.916666666666664</v>
      </c>
    </row>
    <row r="146" spans="1:11">
      <c r="C146" s="1">
        <v>4.8</v>
      </c>
      <c r="D146" s="1">
        <v>4.8</v>
      </c>
      <c r="G146" s="88"/>
      <c r="H146" s="88" t="s">
        <v>59</v>
      </c>
      <c r="I146" s="85">
        <f t="shared" ref="I146:I181" si="5">AVERAGE(J135:J146)</f>
        <v>-39.5</v>
      </c>
      <c r="J146" s="178">
        <v>-1</v>
      </c>
      <c r="K146" s="85">
        <f t="shared" ref="K146:K181" si="6">I146</f>
        <v>-39.5</v>
      </c>
    </row>
    <row r="147" spans="1:11">
      <c r="C147" s="1">
        <v>4.7</v>
      </c>
      <c r="D147" s="1">
        <v>4.7</v>
      </c>
      <c r="G147" s="88"/>
      <c r="H147" s="88" t="s">
        <v>59</v>
      </c>
      <c r="I147" s="85">
        <f t="shared" si="5"/>
        <v>-34.833333333333336</v>
      </c>
      <c r="J147" s="178">
        <v>26</v>
      </c>
      <c r="K147" s="85">
        <f t="shared" si="6"/>
        <v>-34.833333333333336</v>
      </c>
    </row>
    <row r="148" spans="1:11">
      <c r="C148" s="1">
        <v>4.5999999999999996</v>
      </c>
      <c r="D148" s="1">
        <v>4.5999999999999996</v>
      </c>
      <c r="G148" s="88"/>
      <c r="H148" s="88" t="s">
        <v>59</v>
      </c>
      <c r="I148" s="85">
        <f t="shared" si="5"/>
        <v>-30.416666666666668</v>
      </c>
      <c r="J148" s="178">
        <v>3</v>
      </c>
      <c r="K148" s="85">
        <f t="shared" si="6"/>
        <v>-30.416666666666668</v>
      </c>
    </row>
    <row r="149" spans="1:11">
      <c r="C149" s="1">
        <v>4.8</v>
      </c>
      <c r="D149" s="1">
        <v>4.8</v>
      </c>
      <c r="G149" s="88"/>
      <c r="H149" s="88" t="s">
        <v>59</v>
      </c>
      <c r="I149" s="85">
        <f t="shared" si="5"/>
        <v>-25.5</v>
      </c>
      <c r="J149" s="178">
        <v>-6</v>
      </c>
      <c r="K149" s="85">
        <f t="shared" si="6"/>
        <v>-25.5</v>
      </c>
    </row>
    <row r="150" spans="1:11">
      <c r="C150" s="1">
        <v>4.7</v>
      </c>
      <c r="D150" s="1">
        <v>4.7</v>
      </c>
      <c r="G150" s="88">
        <v>2010</v>
      </c>
      <c r="H150" s="88" t="s">
        <v>59</v>
      </c>
      <c r="I150" s="85">
        <f t="shared" si="5"/>
        <v>-17.666666666666668</v>
      </c>
      <c r="J150" s="178">
        <v>23</v>
      </c>
      <c r="K150" s="85">
        <f t="shared" si="6"/>
        <v>-17.666666666666668</v>
      </c>
    </row>
    <row r="151" spans="1:11">
      <c r="C151" s="1">
        <v>5.0999999999999996</v>
      </c>
      <c r="D151" s="1">
        <v>5.0999999999999996</v>
      </c>
      <c r="G151" s="88"/>
      <c r="H151" s="88" t="s">
        <v>59</v>
      </c>
      <c r="I151" s="85">
        <f t="shared" si="5"/>
        <v>-12.333333333333334</v>
      </c>
      <c r="J151" s="178">
        <v>11</v>
      </c>
      <c r="K151" s="85">
        <f t="shared" si="6"/>
        <v>-12.333333333333334</v>
      </c>
    </row>
    <row r="152" spans="1:11">
      <c r="A152" s="1">
        <v>2025</v>
      </c>
      <c r="C152" s="1">
        <v>4.7</v>
      </c>
      <c r="D152" s="1">
        <v>4.7</v>
      </c>
      <c r="G152" s="88"/>
      <c r="H152" s="88" t="s">
        <v>59</v>
      </c>
      <c r="I152" s="85">
        <f t="shared" si="5"/>
        <v>-5.25</v>
      </c>
      <c r="J152" s="178">
        <v>32</v>
      </c>
      <c r="K152" s="85">
        <f t="shared" si="6"/>
        <v>-5.25</v>
      </c>
    </row>
    <row r="153" spans="1:11">
      <c r="C153" s="1">
        <v>4.9000000000000004</v>
      </c>
      <c r="D153" s="1">
        <v>4.9000000000000004</v>
      </c>
      <c r="G153" s="88"/>
      <c r="H153" s="88" t="s">
        <v>59</v>
      </c>
      <c r="I153" s="85">
        <f t="shared" si="5"/>
        <v>2.5</v>
      </c>
      <c r="J153" s="178">
        <v>40</v>
      </c>
      <c r="K153" s="85">
        <f t="shared" si="6"/>
        <v>2.5</v>
      </c>
    </row>
    <row r="154" spans="1:11">
      <c r="C154" s="1">
        <v>4.8</v>
      </c>
      <c r="D154" s="1">
        <v>4.8</v>
      </c>
      <c r="G154" s="88"/>
      <c r="H154" s="88" t="s">
        <v>59</v>
      </c>
      <c r="I154" s="85">
        <f t="shared" si="5"/>
        <v>8.4166666666666661</v>
      </c>
      <c r="J154" s="178">
        <v>26</v>
      </c>
      <c r="K154" s="85">
        <f t="shared" si="6"/>
        <v>8.4166666666666661</v>
      </c>
    </row>
    <row r="155" spans="1:11">
      <c r="C155" s="1">
        <v>5</v>
      </c>
      <c r="D155" s="1">
        <v>5</v>
      </c>
      <c r="G155" s="88"/>
      <c r="H155" s="88" t="s">
        <v>59</v>
      </c>
      <c r="I155" s="85">
        <f t="shared" si="5"/>
        <v>10.083333333333334</v>
      </c>
      <c r="J155" s="178">
        <v>-4</v>
      </c>
      <c r="K155" s="85">
        <f t="shared" si="6"/>
        <v>10.083333333333334</v>
      </c>
    </row>
    <row r="156" spans="1:11">
      <c r="C156" s="1">
        <v>5</v>
      </c>
      <c r="D156" s="1">
        <v>5</v>
      </c>
      <c r="G156" s="88"/>
      <c r="H156" s="88" t="s">
        <v>59</v>
      </c>
      <c r="I156" s="85">
        <f t="shared" si="5"/>
        <v>15.166666666666666</v>
      </c>
      <c r="J156" s="178">
        <v>43</v>
      </c>
      <c r="K156" s="85">
        <f t="shared" si="6"/>
        <v>15.166666666666666</v>
      </c>
    </row>
    <row r="157" spans="1:11">
      <c r="C157" s="1">
        <v>5.2</v>
      </c>
      <c r="D157" s="1">
        <v>5.2</v>
      </c>
      <c r="G157" s="88"/>
      <c r="H157" s="88" t="s">
        <v>59</v>
      </c>
      <c r="I157" s="85">
        <f t="shared" si="5"/>
        <v>19.833333333333332</v>
      </c>
      <c r="J157" s="178">
        <v>45</v>
      </c>
      <c r="K157" s="85">
        <f t="shared" si="6"/>
        <v>19.833333333333332</v>
      </c>
    </row>
    <row r="158" spans="1:11">
      <c r="C158" s="1">
        <v>5.2</v>
      </c>
      <c r="D158" s="1">
        <v>5.2</v>
      </c>
      <c r="G158" s="88"/>
      <c r="H158" s="88" t="s">
        <v>59</v>
      </c>
      <c r="I158" s="85">
        <f t="shared" si="5"/>
        <v>23.083333333333332</v>
      </c>
      <c r="J158" s="178">
        <v>38</v>
      </c>
      <c r="K158" s="85">
        <f t="shared" si="6"/>
        <v>23.083333333333332</v>
      </c>
    </row>
    <row r="159" spans="1:11">
      <c r="G159" s="88"/>
      <c r="H159" s="88" t="s">
        <v>59</v>
      </c>
      <c r="I159" s="85">
        <f t="shared" si="5"/>
        <v>19.25</v>
      </c>
      <c r="J159" s="178">
        <v>-20</v>
      </c>
      <c r="K159" s="85">
        <f t="shared" si="6"/>
        <v>19.25</v>
      </c>
    </row>
    <row r="160" spans="1:11">
      <c r="G160" s="88"/>
      <c r="H160" s="88" t="s">
        <v>59</v>
      </c>
      <c r="I160" s="85">
        <f t="shared" si="5"/>
        <v>18</v>
      </c>
      <c r="J160" s="178">
        <v>-12</v>
      </c>
      <c r="K160" s="85">
        <f t="shared" si="6"/>
        <v>18</v>
      </c>
    </row>
    <row r="161" spans="7:11">
      <c r="G161" s="88"/>
      <c r="H161" s="88" t="s">
        <v>59</v>
      </c>
      <c r="I161" s="85">
        <f t="shared" si="5"/>
        <v>19.333333333333332</v>
      </c>
      <c r="J161" s="178">
        <v>10</v>
      </c>
      <c r="K161" s="85">
        <f t="shared" si="6"/>
        <v>19.333333333333332</v>
      </c>
    </row>
    <row r="162" spans="7:11">
      <c r="G162" s="88">
        <v>2011</v>
      </c>
      <c r="H162" s="88" t="s">
        <v>59</v>
      </c>
      <c r="I162" s="85">
        <f t="shared" si="5"/>
        <v>15.666666666666666</v>
      </c>
      <c r="J162" s="178">
        <v>-21</v>
      </c>
      <c r="K162" s="85">
        <f t="shared" si="6"/>
        <v>15.666666666666666</v>
      </c>
    </row>
    <row r="163" spans="7:11">
      <c r="G163" s="88"/>
      <c r="H163" s="88" t="s">
        <v>59</v>
      </c>
      <c r="I163" s="85">
        <f t="shared" si="5"/>
        <v>17.833333333333332</v>
      </c>
      <c r="J163" s="178">
        <v>37</v>
      </c>
      <c r="K163" s="85">
        <f t="shared" si="6"/>
        <v>17.833333333333332</v>
      </c>
    </row>
    <row r="164" spans="7:11">
      <c r="G164" s="88"/>
      <c r="H164" s="88" t="s">
        <v>59</v>
      </c>
      <c r="I164" s="85">
        <f t="shared" si="5"/>
        <v>18.75</v>
      </c>
      <c r="J164" s="178">
        <v>43</v>
      </c>
      <c r="K164" s="85">
        <f t="shared" si="6"/>
        <v>18.75</v>
      </c>
    </row>
    <row r="165" spans="7:11">
      <c r="G165" s="88"/>
      <c r="H165" s="88" t="s">
        <v>59</v>
      </c>
      <c r="I165" s="85">
        <f t="shared" si="5"/>
        <v>16.75</v>
      </c>
      <c r="J165" s="178">
        <v>16</v>
      </c>
      <c r="K165" s="85">
        <f t="shared" si="6"/>
        <v>16.75</v>
      </c>
    </row>
    <row r="166" spans="7:11">
      <c r="G166" s="88"/>
      <c r="H166" s="88" t="s">
        <v>59</v>
      </c>
      <c r="I166" s="85">
        <f t="shared" si="5"/>
        <v>17.416666666666668</v>
      </c>
      <c r="J166" s="178">
        <v>34</v>
      </c>
      <c r="K166" s="85">
        <f t="shared" si="6"/>
        <v>17.416666666666668</v>
      </c>
    </row>
    <row r="167" spans="7:11">
      <c r="G167" s="88"/>
      <c r="H167" s="88" t="s">
        <v>59</v>
      </c>
      <c r="I167" s="85">
        <f t="shared" si="5"/>
        <v>18.75</v>
      </c>
      <c r="J167" s="178">
        <v>12</v>
      </c>
      <c r="K167" s="85">
        <f t="shared" si="6"/>
        <v>18.75</v>
      </c>
    </row>
    <row r="168" spans="7:11">
      <c r="G168" s="88"/>
      <c r="H168" s="88" t="s">
        <v>59</v>
      </c>
      <c r="I168" s="85">
        <f t="shared" si="5"/>
        <v>15.583333333333334</v>
      </c>
      <c r="J168" s="178">
        <v>5</v>
      </c>
      <c r="K168" s="85">
        <f t="shared" si="6"/>
        <v>15.583333333333334</v>
      </c>
    </row>
    <row r="169" spans="7:11">
      <c r="G169" s="88"/>
      <c r="H169" s="88" t="s">
        <v>59</v>
      </c>
      <c r="I169" s="85">
        <f t="shared" si="5"/>
        <v>12.75</v>
      </c>
      <c r="J169" s="178">
        <v>11</v>
      </c>
      <c r="K169" s="85">
        <f t="shared" si="6"/>
        <v>12.75</v>
      </c>
    </row>
    <row r="170" spans="7:11">
      <c r="G170" s="88"/>
      <c r="H170" s="88" t="s">
        <v>59</v>
      </c>
      <c r="I170" s="85">
        <f t="shared" si="5"/>
        <v>9.6666666666666661</v>
      </c>
      <c r="J170" s="178">
        <v>1</v>
      </c>
      <c r="K170" s="85">
        <f t="shared" si="6"/>
        <v>9.6666666666666661</v>
      </c>
    </row>
    <row r="171" spans="7:11">
      <c r="G171" s="88"/>
      <c r="H171" s="88" t="s">
        <v>59</v>
      </c>
      <c r="I171" s="85">
        <f t="shared" si="5"/>
        <v>12.25</v>
      </c>
      <c r="J171" s="178">
        <v>11</v>
      </c>
      <c r="K171" s="85">
        <f t="shared" si="6"/>
        <v>12.25</v>
      </c>
    </row>
    <row r="172" spans="7:11">
      <c r="G172" s="88"/>
      <c r="H172" s="88" t="s">
        <v>59</v>
      </c>
      <c r="I172" s="85">
        <f t="shared" si="5"/>
        <v>12.166666666666666</v>
      </c>
      <c r="J172" s="178">
        <v>-13</v>
      </c>
      <c r="K172" s="85">
        <f t="shared" si="6"/>
        <v>12.166666666666666</v>
      </c>
    </row>
    <row r="173" spans="7:11">
      <c r="G173" s="88"/>
      <c r="H173" s="88" t="s">
        <v>59</v>
      </c>
      <c r="I173" s="85">
        <f t="shared" si="5"/>
        <v>8</v>
      </c>
      <c r="J173" s="178">
        <v>-40</v>
      </c>
      <c r="K173" s="85">
        <f t="shared" si="6"/>
        <v>8</v>
      </c>
    </row>
    <row r="174" spans="7:11">
      <c r="G174" s="88">
        <v>2012</v>
      </c>
      <c r="H174" s="88" t="s">
        <v>59</v>
      </c>
      <c r="I174" s="85">
        <f t="shared" si="5"/>
        <v>6.5</v>
      </c>
      <c r="J174" s="178">
        <v>-39</v>
      </c>
      <c r="K174" s="85">
        <f t="shared" si="6"/>
        <v>6.5</v>
      </c>
    </row>
    <row r="175" spans="7:11">
      <c r="G175" s="88"/>
      <c r="H175" s="88" t="s">
        <v>59</v>
      </c>
      <c r="I175" s="85">
        <f t="shared" si="5"/>
        <v>4.333333333333333</v>
      </c>
      <c r="J175" s="178">
        <v>11</v>
      </c>
      <c r="K175" s="85">
        <f t="shared" si="6"/>
        <v>4.333333333333333</v>
      </c>
    </row>
    <row r="176" spans="7:11">
      <c r="G176" s="88"/>
      <c r="H176" s="88" t="s">
        <v>59</v>
      </c>
      <c r="I176" s="85">
        <f t="shared" si="5"/>
        <v>-8.3333333333333329E-2</v>
      </c>
      <c r="J176" s="178">
        <v>-10</v>
      </c>
      <c r="K176" s="85">
        <f t="shared" si="6"/>
        <v>-8.3333333333333329E-2</v>
      </c>
    </row>
    <row r="177" spans="7:11">
      <c r="G177" s="88"/>
      <c r="H177" s="88" t="s">
        <v>59</v>
      </c>
      <c r="I177" s="85">
        <f t="shared" si="5"/>
        <v>-2.25</v>
      </c>
      <c r="J177" s="178">
        <v>-10</v>
      </c>
      <c r="K177" s="85">
        <f t="shared" si="6"/>
        <v>-2.25</v>
      </c>
    </row>
    <row r="178" spans="7:11">
      <c r="G178" s="88"/>
      <c r="H178" s="88" t="s">
        <v>59</v>
      </c>
      <c r="I178" s="85">
        <f t="shared" si="5"/>
        <v>-8.1666666666666661</v>
      </c>
      <c r="J178" s="178">
        <v>-37</v>
      </c>
      <c r="K178" s="85">
        <f t="shared" si="6"/>
        <v>-8.1666666666666661</v>
      </c>
    </row>
    <row r="179" spans="7:11">
      <c r="G179" s="88"/>
      <c r="H179" s="88" t="s">
        <v>59</v>
      </c>
      <c r="I179" s="85">
        <f t="shared" si="5"/>
        <v>-9.9166666666666661</v>
      </c>
      <c r="J179" s="178">
        <v>-9</v>
      </c>
      <c r="K179" s="85">
        <f t="shared" si="6"/>
        <v>-9.9166666666666661</v>
      </c>
    </row>
    <row r="180" spans="7:11">
      <c r="G180" s="88"/>
      <c r="H180" s="88" t="s">
        <v>59</v>
      </c>
      <c r="I180" s="85">
        <f t="shared" si="5"/>
        <v>-10.833333333333334</v>
      </c>
      <c r="J180" s="178">
        <v>-6</v>
      </c>
      <c r="K180" s="85">
        <f t="shared" si="6"/>
        <v>-10.833333333333334</v>
      </c>
    </row>
    <row r="181" spans="7:11">
      <c r="G181" s="88"/>
      <c r="H181" s="88" t="s">
        <v>59</v>
      </c>
      <c r="I181" s="85">
        <f t="shared" si="5"/>
        <v>-12.833333333333334</v>
      </c>
      <c r="J181" s="178">
        <v>-13</v>
      </c>
      <c r="K181" s="85">
        <f t="shared" si="6"/>
        <v>-12.833333333333334</v>
      </c>
    </row>
    <row r="182" spans="7:11">
      <c r="G182" s="88"/>
      <c r="H182" s="88" t="s">
        <v>59</v>
      </c>
      <c r="I182" s="85">
        <f t="shared" ref="I182:I216" si="7">AVERAGE(J171:J182)</f>
        <v>-14.25</v>
      </c>
      <c r="J182" s="178">
        <v>-16</v>
      </c>
      <c r="K182" s="85">
        <f t="shared" ref="K182:K216" si="8">I182</f>
        <v>-14.25</v>
      </c>
    </row>
    <row r="183" spans="7:11">
      <c r="G183" s="88"/>
      <c r="H183" s="88" t="s">
        <v>59</v>
      </c>
      <c r="I183" s="85">
        <f t="shared" si="7"/>
        <v>-17</v>
      </c>
      <c r="J183" s="178">
        <v>-22</v>
      </c>
      <c r="K183" s="85">
        <f t="shared" si="8"/>
        <v>-17</v>
      </c>
    </row>
    <row r="184" spans="7:11">
      <c r="G184" s="88"/>
      <c r="H184" s="88" t="s">
        <v>59</v>
      </c>
      <c r="I184" s="85">
        <f t="shared" si="7"/>
        <v>-17.583333333333332</v>
      </c>
      <c r="J184" s="179">
        <v>-20</v>
      </c>
      <c r="K184" s="85">
        <f t="shared" si="8"/>
        <v>-17.583333333333332</v>
      </c>
    </row>
    <row r="185" spans="7:11">
      <c r="G185" s="88"/>
      <c r="H185" s="88" t="s">
        <v>59</v>
      </c>
      <c r="I185" s="85">
        <f t="shared" si="7"/>
        <v>-15.833333333333334</v>
      </c>
      <c r="J185" s="179">
        <v>-19</v>
      </c>
      <c r="K185" s="85">
        <f t="shared" si="8"/>
        <v>-15.833333333333334</v>
      </c>
    </row>
    <row r="186" spans="7:11">
      <c r="G186" s="88">
        <v>2013</v>
      </c>
      <c r="H186" s="88" t="s">
        <v>59</v>
      </c>
      <c r="I186" s="85">
        <f t="shared" si="7"/>
        <v>-15.25</v>
      </c>
      <c r="J186" s="179">
        <v>-32</v>
      </c>
      <c r="K186" s="85">
        <f t="shared" si="8"/>
        <v>-15.25</v>
      </c>
    </row>
    <row r="187" spans="7:11">
      <c r="G187" s="88"/>
      <c r="H187" s="88" t="s">
        <v>59</v>
      </c>
      <c r="I187" s="85">
        <f t="shared" si="7"/>
        <v>-19.083333333333332</v>
      </c>
      <c r="J187" s="179">
        <f>8-43</f>
        <v>-35</v>
      </c>
      <c r="K187" s="85">
        <f t="shared" si="8"/>
        <v>-19.083333333333332</v>
      </c>
    </row>
    <row r="188" spans="7:11">
      <c r="G188" s="88"/>
      <c r="H188" s="88" t="s">
        <v>59</v>
      </c>
      <c r="I188" s="85">
        <f t="shared" si="7"/>
        <v>-19.166666666666668</v>
      </c>
      <c r="J188" s="179">
        <f>11-22</f>
        <v>-11</v>
      </c>
      <c r="K188" s="85">
        <f t="shared" si="8"/>
        <v>-19.166666666666668</v>
      </c>
    </row>
    <row r="189" spans="7:11">
      <c r="G189" s="88"/>
      <c r="I189" s="85">
        <f t="shared" si="7"/>
        <v>-18.5</v>
      </c>
      <c r="J189" s="179">
        <f>17-19</f>
        <v>-2</v>
      </c>
      <c r="K189" s="85">
        <f t="shared" si="8"/>
        <v>-18.5</v>
      </c>
    </row>
    <row r="190" spans="7:11">
      <c r="G190" s="88"/>
      <c r="I190" s="85">
        <f t="shared" si="7"/>
        <v>-16.583333333333332</v>
      </c>
      <c r="J190" s="179">
        <f>6-20</f>
        <v>-14</v>
      </c>
      <c r="K190" s="85">
        <f t="shared" si="8"/>
        <v>-16.583333333333332</v>
      </c>
    </row>
    <row r="191" spans="7:11">
      <c r="G191" s="88"/>
      <c r="I191" s="85">
        <f t="shared" si="7"/>
        <v>-16.416666666666668</v>
      </c>
      <c r="J191" s="179">
        <f>10-17</f>
        <v>-7</v>
      </c>
      <c r="K191" s="85">
        <f t="shared" si="8"/>
        <v>-16.416666666666668</v>
      </c>
    </row>
    <row r="192" spans="7:11">
      <c r="G192" s="88"/>
      <c r="I192" s="85">
        <f t="shared" si="7"/>
        <v>-15.833333333333334</v>
      </c>
      <c r="J192" s="179">
        <f>12-11</f>
        <v>1</v>
      </c>
      <c r="K192" s="85">
        <f t="shared" si="8"/>
        <v>-15.833333333333334</v>
      </c>
    </row>
    <row r="193" spans="7:11">
      <c r="G193" s="88"/>
      <c r="I193" s="85">
        <f t="shared" si="7"/>
        <v>-15.166666666666666</v>
      </c>
      <c r="J193" s="179">
        <f>8-13</f>
        <v>-5</v>
      </c>
      <c r="K193" s="85">
        <f t="shared" si="8"/>
        <v>-15.166666666666666</v>
      </c>
    </row>
    <row r="194" spans="7:11">
      <c r="G194" s="88"/>
      <c r="I194" s="85">
        <f t="shared" si="7"/>
        <v>-13.583333333333334</v>
      </c>
      <c r="J194" s="179">
        <f>16-13</f>
        <v>3</v>
      </c>
      <c r="K194" s="85">
        <f t="shared" si="8"/>
        <v>-13.583333333333334</v>
      </c>
    </row>
    <row r="195" spans="7:11">
      <c r="G195" s="88"/>
      <c r="I195" s="85">
        <f t="shared" si="7"/>
        <v>-12.416666666666666</v>
      </c>
      <c r="J195" s="179">
        <f>18-26</f>
        <v>-8</v>
      </c>
      <c r="K195" s="85">
        <f t="shared" si="8"/>
        <v>-12.416666666666666</v>
      </c>
    </row>
    <row r="196" spans="7:11">
      <c r="G196" s="88"/>
      <c r="I196" s="85">
        <f t="shared" si="7"/>
        <v>-11.5</v>
      </c>
      <c r="J196" s="179">
        <f>18-27</f>
        <v>-9</v>
      </c>
      <c r="K196" s="85">
        <f t="shared" si="8"/>
        <v>-11.5</v>
      </c>
    </row>
    <row r="197" spans="7:11">
      <c r="G197" s="88"/>
      <c r="I197" s="85">
        <f t="shared" si="7"/>
        <v>-11</v>
      </c>
      <c r="J197" s="179">
        <f>13-26</f>
        <v>-13</v>
      </c>
      <c r="K197" s="85">
        <f t="shared" si="8"/>
        <v>-11</v>
      </c>
    </row>
    <row r="198" spans="7:11">
      <c r="G198" s="88">
        <v>2014</v>
      </c>
      <c r="I198" s="85">
        <f t="shared" si="7"/>
        <v>-9.9166666666666661</v>
      </c>
      <c r="J198" s="179">
        <v>-19</v>
      </c>
      <c r="K198" s="85">
        <f t="shared" si="8"/>
        <v>-9.9166666666666661</v>
      </c>
    </row>
    <row r="199" spans="7:11">
      <c r="G199" s="88"/>
      <c r="I199" s="85">
        <f t="shared" si="7"/>
        <v>-6.833333333333333</v>
      </c>
      <c r="J199" s="179">
        <f>14-12</f>
        <v>2</v>
      </c>
      <c r="K199" s="85">
        <f t="shared" si="8"/>
        <v>-6.833333333333333</v>
      </c>
    </row>
    <row r="200" spans="7:11">
      <c r="G200" s="88"/>
      <c r="I200" s="85">
        <f t="shared" si="7"/>
        <v>-5.916666666666667</v>
      </c>
      <c r="J200" s="179">
        <f>13-13</f>
        <v>0</v>
      </c>
      <c r="K200" s="85">
        <f t="shared" si="8"/>
        <v>-5.916666666666667</v>
      </c>
    </row>
    <row r="201" spans="7:11">
      <c r="G201" s="88"/>
      <c r="I201" s="85">
        <f t="shared" si="7"/>
        <v>-5.583333333333333</v>
      </c>
      <c r="J201" s="179">
        <f>14-12</f>
        <v>2</v>
      </c>
      <c r="K201" s="85">
        <f t="shared" si="8"/>
        <v>-5.583333333333333</v>
      </c>
    </row>
    <row r="202" spans="7:11">
      <c r="G202" s="88"/>
      <c r="I202" s="85">
        <f t="shared" si="7"/>
        <v>-3.1666666666666665</v>
      </c>
      <c r="J202" s="179">
        <f>24-9</f>
        <v>15</v>
      </c>
      <c r="K202" s="85">
        <f t="shared" si="8"/>
        <v>-3.1666666666666665</v>
      </c>
    </row>
    <row r="203" spans="7:11">
      <c r="G203" s="88"/>
      <c r="I203" s="85">
        <f t="shared" si="7"/>
        <v>-1.3333333333333333</v>
      </c>
      <c r="J203" s="179">
        <f>29-14</f>
        <v>15</v>
      </c>
      <c r="K203" s="85">
        <f t="shared" si="8"/>
        <v>-1.3333333333333333</v>
      </c>
    </row>
    <row r="204" spans="7:11">
      <c r="G204" s="88"/>
      <c r="I204" s="85">
        <f t="shared" si="7"/>
        <v>0</v>
      </c>
      <c r="J204" s="179">
        <f>24-7</f>
        <v>17</v>
      </c>
      <c r="K204" s="85">
        <f t="shared" si="8"/>
        <v>0</v>
      </c>
    </row>
    <row r="205" spans="7:11">
      <c r="G205" s="88"/>
      <c r="I205" s="85">
        <f t="shared" si="7"/>
        <v>0.91666666666666663</v>
      </c>
      <c r="J205" s="179">
        <f>24-18</f>
        <v>6</v>
      </c>
      <c r="K205" s="85">
        <f t="shared" si="8"/>
        <v>0.91666666666666663</v>
      </c>
    </row>
    <row r="206" spans="7:11">
      <c r="G206" s="88"/>
      <c r="I206" s="85">
        <f t="shared" si="7"/>
        <v>1.5833333333333333</v>
      </c>
      <c r="J206" s="179">
        <f>27-16</f>
        <v>11</v>
      </c>
      <c r="K206" s="85">
        <f t="shared" si="8"/>
        <v>1.5833333333333333</v>
      </c>
    </row>
    <row r="207" spans="7:11">
      <c r="G207" s="88"/>
      <c r="I207" s="85">
        <f t="shared" si="7"/>
        <v>3.5833333333333335</v>
      </c>
      <c r="J207" s="179">
        <f>27-11</f>
        <v>16</v>
      </c>
      <c r="K207" s="85">
        <f t="shared" si="8"/>
        <v>3.5833333333333335</v>
      </c>
    </row>
    <row r="208" spans="7:11">
      <c r="G208" s="88"/>
      <c r="I208" s="85">
        <f t="shared" si="7"/>
        <v>5.583333333333333</v>
      </c>
      <c r="J208" s="179">
        <f>28-13</f>
        <v>15</v>
      </c>
      <c r="K208" s="85">
        <f t="shared" si="8"/>
        <v>5.583333333333333</v>
      </c>
    </row>
    <row r="209" spans="7:11">
      <c r="G209" s="88"/>
      <c r="I209" s="85">
        <f t="shared" si="7"/>
        <v>7.666666666666667</v>
      </c>
      <c r="J209" s="179">
        <f>25-13</f>
        <v>12</v>
      </c>
      <c r="K209" s="85">
        <f t="shared" si="8"/>
        <v>7.666666666666667</v>
      </c>
    </row>
    <row r="210" spans="7:11">
      <c r="G210" s="88">
        <v>2015</v>
      </c>
      <c r="I210" s="85">
        <f t="shared" si="7"/>
        <v>9.6666666666666661</v>
      </c>
      <c r="J210" s="179">
        <f>24-19</f>
        <v>5</v>
      </c>
      <c r="K210" s="85">
        <f t="shared" si="8"/>
        <v>9.6666666666666661</v>
      </c>
    </row>
    <row r="211" spans="7:11">
      <c r="G211" s="88"/>
      <c r="I211" s="85">
        <f t="shared" si="7"/>
        <v>9.8333333333333339</v>
      </c>
      <c r="J211" s="179">
        <f>21-17</f>
        <v>4</v>
      </c>
      <c r="K211" s="85">
        <f t="shared" si="8"/>
        <v>9.8333333333333339</v>
      </c>
    </row>
    <row r="212" spans="7:11">
      <c r="G212" s="88"/>
      <c r="I212" s="85">
        <f t="shared" si="7"/>
        <v>10.083333333333334</v>
      </c>
      <c r="J212" s="179">
        <f>27-24</f>
        <v>3</v>
      </c>
      <c r="K212" s="85">
        <f t="shared" si="8"/>
        <v>10.083333333333334</v>
      </c>
    </row>
    <row r="213" spans="7:11">
      <c r="G213" s="88"/>
      <c r="I213" s="85">
        <f t="shared" si="7"/>
        <v>11.75</v>
      </c>
      <c r="J213" s="179">
        <f>28-6</f>
        <v>22</v>
      </c>
      <c r="K213" s="85">
        <f t="shared" si="8"/>
        <v>11.75</v>
      </c>
    </row>
    <row r="214" spans="7:11">
      <c r="G214" s="88"/>
      <c r="I214" s="85">
        <f t="shared" si="7"/>
        <v>12.166666666666666</v>
      </c>
      <c r="J214" s="179">
        <f>31-11</f>
        <v>20</v>
      </c>
      <c r="K214" s="85">
        <f t="shared" si="8"/>
        <v>12.166666666666666</v>
      </c>
    </row>
    <row r="215" spans="7:11">
      <c r="G215" s="88"/>
      <c r="I215" s="85">
        <f t="shared" si="7"/>
        <v>12.416666666666666</v>
      </c>
      <c r="J215" s="179">
        <f>28-10</f>
        <v>18</v>
      </c>
      <c r="K215" s="85">
        <f t="shared" si="8"/>
        <v>12.416666666666666</v>
      </c>
    </row>
    <row r="216" spans="7:11">
      <c r="G216" s="88"/>
      <c r="I216" s="85">
        <f t="shared" si="7"/>
        <v>12.666666666666666</v>
      </c>
      <c r="J216" s="179">
        <f>25-5</f>
        <v>20</v>
      </c>
      <c r="K216" s="85">
        <f t="shared" si="8"/>
        <v>12.666666666666666</v>
      </c>
    </row>
    <row r="217" spans="7:11">
      <c r="G217" s="88"/>
      <c r="I217" s="85">
        <f t="shared" ref="I217:I223" si="9">AVERAGE(J206:J217)</f>
        <v>13.166666666666666</v>
      </c>
      <c r="J217" s="179">
        <f>23-11</f>
        <v>12</v>
      </c>
      <c r="K217" s="85">
        <f t="shared" ref="K217:K223" si="10">I217</f>
        <v>13.166666666666666</v>
      </c>
    </row>
    <row r="218" spans="7:11">
      <c r="G218" s="88"/>
      <c r="I218" s="85">
        <f t="shared" si="9"/>
        <v>13.666666666666666</v>
      </c>
      <c r="J218" s="179">
        <f>29-12</f>
        <v>17</v>
      </c>
      <c r="K218" s="85">
        <f t="shared" si="10"/>
        <v>13.666666666666666</v>
      </c>
    </row>
    <row r="219" spans="7:11">
      <c r="G219" s="88"/>
      <c r="I219" s="85">
        <f t="shared" si="9"/>
        <v>14.333333333333334</v>
      </c>
      <c r="J219" s="179">
        <f>35-11</f>
        <v>24</v>
      </c>
      <c r="K219" s="85">
        <f t="shared" si="10"/>
        <v>14.333333333333334</v>
      </c>
    </row>
    <row r="220" spans="7:11">
      <c r="G220" s="88"/>
      <c r="I220" s="85">
        <f t="shared" si="9"/>
        <v>15.083333333333334</v>
      </c>
      <c r="J220" s="179">
        <f>33-9</f>
        <v>24</v>
      </c>
      <c r="K220" s="85">
        <f t="shared" si="10"/>
        <v>15.083333333333334</v>
      </c>
    </row>
    <row r="221" spans="7:11">
      <c r="G221" s="88"/>
      <c r="I221" s="85">
        <f t="shared" si="9"/>
        <v>15.916666666666666</v>
      </c>
      <c r="J221" s="179">
        <f>34-12</f>
        <v>22</v>
      </c>
      <c r="K221" s="85">
        <f t="shared" si="10"/>
        <v>15.916666666666666</v>
      </c>
    </row>
    <row r="222" spans="7:11">
      <c r="G222" s="88">
        <v>2016</v>
      </c>
      <c r="I222" s="85">
        <f t="shared" si="9"/>
        <v>15.666666666666666</v>
      </c>
      <c r="J222" s="179">
        <f>23-21</f>
        <v>2</v>
      </c>
      <c r="K222" s="85">
        <f t="shared" si="10"/>
        <v>15.666666666666666</v>
      </c>
    </row>
    <row r="223" spans="7:11">
      <c r="G223" s="88"/>
      <c r="I223" s="85">
        <f t="shared" si="9"/>
        <v>19.333333333333332</v>
      </c>
      <c r="J223" s="179">
        <f>52-4</f>
        <v>48</v>
      </c>
      <c r="K223" s="85">
        <f t="shared" si="10"/>
        <v>19.333333333333332</v>
      </c>
    </row>
    <row r="224" spans="7:11">
      <c r="G224" s="88"/>
      <c r="I224" s="85">
        <f t="shared" ref="I224:I231" si="11">AVERAGE(J213:J224)</f>
        <v>21.666666666666668</v>
      </c>
      <c r="J224" s="179">
        <f>35-4</f>
        <v>31</v>
      </c>
      <c r="K224" s="85">
        <f t="shared" ref="K224:K231" si="12">I224</f>
        <v>21.666666666666668</v>
      </c>
    </row>
    <row r="225" spans="7:11">
      <c r="G225" s="88"/>
      <c r="I225" s="85">
        <f t="shared" si="11"/>
        <v>22.416666666666668</v>
      </c>
      <c r="J225" s="179">
        <f>35-4</f>
        <v>31</v>
      </c>
      <c r="K225" s="85">
        <f t="shared" si="12"/>
        <v>22.416666666666668</v>
      </c>
    </row>
    <row r="226" spans="7:11">
      <c r="G226" s="88"/>
      <c r="I226" s="85">
        <f t="shared" si="11"/>
        <v>23.333333333333332</v>
      </c>
      <c r="J226" s="179">
        <f>35-4</f>
        <v>31</v>
      </c>
      <c r="K226" s="85">
        <f t="shared" si="12"/>
        <v>23.333333333333332</v>
      </c>
    </row>
    <row r="227" spans="7:11">
      <c r="G227" s="88"/>
      <c r="I227" s="85">
        <f t="shared" si="11"/>
        <v>23.5</v>
      </c>
      <c r="J227" s="179">
        <f>26-6</f>
        <v>20</v>
      </c>
      <c r="K227" s="85">
        <f t="shared" si="12"/>
        <v>23.5</v>
      </c>
    </row>
    <row r="228" spans="7:11">
      <c r="G228" s="88"/>
      <c r="I228" s="85">
        <f t="shared" si="11"/>
        <v>21.25</v>
      </c>
      <c r="J228" s="179">
        <f>9-16</f>
        <v>-7</v>
      </c>
      <c r="K228" s="85">
        <f t="shared" si="12"/>
        <v>21.25</v>
      </c>
    </row>
    <row r="229" spans="7:11">
      <c r="G229" s="88"/>
      <c r="I229" s="85">
        <f t="shared" si="11"/>
        <v>19.666666666666668</v>
      </c>
      <c r="J229" s="179">
        <f>9-16</f>
        <v>-7</v>
      </c>
      <c r="K229" s="85">
        <f t="shared" si="12"/>
        <v>19.666666666666668</v>
      </c>
    </row>
    <row r="230" spans="7:11">
      <c r="G230" s="88"/>
      <c r="I230" s="85">
        <f t="shared" si="11"/>
        <v>16.333333333333332</v>
      </c>
      <c r="J230" s="179">
        <f>12-35</f>
        <v>-23</v>
      </c>
      <c r="K230" s="85">
        <f t="shared" si="12"/>
        <v>16.333333333333332</v>
      </c>
    </row>
    <row r="231" spans="7:11">
      <c r="G231" s="88"/>
      <c r="I231" s="85">
        <f t="shared" si="11"/>
        <v>14</v>
      </c>
      <c r="J231" s="179">
        <f>18-22</f>
        <v>-4</v>
      </c>
      <c r="K231" s="85">
        <f t="shared" si="12"/>
        <v>14</v>
      </c>
    </row>
    <row r="232" spans="7:11">
      <c r="G232" s="88"/>
      <c r="I232" s="85">
        <f t="shared" ref="I232:I234" si="13">AVERAGE(J221:J232)</f>
        <v>12.416666666666666</v>
      </c>
      <c r="J232" s="179">
        <f>17-12</f>
        <v>5</v>
      </c>
      <c r="K232" s="85">
        <f t="shared" ref="K232:K240" si="14">I232</f>
        <v>12.416666666666666</v>
      </c>
    </row>
    <row r="233" spans="7:11">
      <c r="G233" s="88"/>
      <c r="I233" s="85">
        <f t="shared" si="13"/>
        <v>12.25</v>
      </c>
      <c r="J233" s="179">
        <f>31-11</f>
        <v>20</v>
      </c>
      <c r="K233" s="85">
        <f t="shared" si="14"/>
        <v>12.25</v>
      </c>
    </row>
    <row r="234" spans="7:11">
      <c r="G234" s="88">
        <v>2017</v>
      </c>
      <c r="I234" s="85">
        <f t="shared" si="13"/>
        <v>11.833333333333334</v>
      </c>
      <c r="J234" s="179">
        <f>9-12</f>
        <v>-3</v>
      </c>
      <c r="K234" s="85">
        <f t="shared" si="14"/>
        <v>11.833333333333334</v>
      </c>
    </row>
    <row r="235" spans="7:11">
      <c r="G235" s="88"/>
      <c r="I235" s="85">
        <f t="shared" ref="I235" si="15">AVERAGE(J224:J235)</f>
        <v>7.583333333333333</v>
      </c>
      <c r="J235" s="179">
        <f>9-12</f>
        <v>-3</v>
      </c>
      <c r="K235" s="85">
        <f t="shared" ref="K235" si="16">I235</f>
        <v>7.583333333333333</v>
      </c>
    </row>
    <row r="236" spans="7:11">
      <c r="G236" s="88"/>
      <c r="I236" s="85">
        <f t="shared" ref="I236:I315" si="17">AVERAGE(J224:J236)</f>
        <v>7.0769230769230766</v>
      </c>
      <c r="J236" s="179">
        <f>25-24</f>
        <v>1</v>
      </c>
      <c r="K236" s="85">
        <f t="shared" si="14"/>
        <v>7.0769230769230766</v>
      </c>
    </row>
    <row r="237" spans="7:11">
      <c r="G237" s="88"/>
      <c r="I237" s="85">
        <f t="shared" si="17"/>
        <v>5.1538461538461542</v>
      </c>
      <c r="J237" s="179">
        <f>29-23</f>
        <v>6</v>
      </c>
      <c r="K237" s="85">
        <f t="shared" si="14"/>
        <v>5.1538461538461542</v>
      </c>
    </row>
    <row r="238" spans="7:11">
      <c r="G238" s="88"/>
      <c r="I238" s="85">
        <f t="shared" si="17"/>
        <v>4.1538461538461542</v>
      </c>
      <c r="J238" s="179">
        <v>18</v>
      </c>
      <c r="K238" s="85">
        <f t="shared" si="14"/>
        <v>4.1538461538461542</v>
      </c>
    </row>
    <row r="239" spans="7:11">
      <c r="G239" s="88"/>
      <c r="I239" s="85">
        <f t="shared" si="17"/>
        <v>3.6153846153846154</v>
      </c>
      <c r="J239" s="179">
        <f>28-4</f>
        <v>24</v>
      </c>
      <c r="K239" s="85">
        <f t="shared" si="14"/>
        <v>3.6153846153846154</v>
      </c>
    </row>
    <row r="240" spans="7:11">
      <c r="G240" s="88"/>
      <c r="I240" s="85">
        <f t="shared" si="17"/>
        <v>7.6923076923076927E-2</v>
      </c>
      <c r="J240" s="179">
        <f>10-36</f>
        <v>-26</v>
      </c>
      <c r="K240" s="85">
        <f t="shared" si="14"/>
        <v>7.6923076923076927E-2</v>
      </c>
    </row>
    <row r="241" spans="7:11">
      <c r="G241" s="88"/>
      <c r="I241" s="85">
        <f t="shared" si="17"/>
        <v>0.69230769230769229</v>
      </c>
      <c r="J241" s="179">
        <f>18-17</f>
        <v>1</v>
      </c>
      <c r="K241" s="85">
        <f t="shared" ref="K241:K242" si="18">I241</f>
        <v>0.69230769230769229</v>
      </c>
    </row>
    <row r="242" spans="7:11">
      <c r="G242" s="88"/>
      <c r="I242" s="85">
        <f t="shared" si="17"/>
        <v>0.84615384615384615</v>
      </c>
      <c r="J242" s="179">
        <f>17-22</f>
        <v>-5</v>
      </c>
      <c r="K242" s="85">
        <f t="shared" si="18"/>
        <v>0.84615384615384615</v>
      </c>
    </row>
    <row r="243" spans="7:11">
      <c r="G243" s="88"/>
      <c r="I243" s="85">
        <f t="shared" si="17"/>
        <v>1.8461538461538463</v>
      </c>
      <c r="J243" s="179">
        <f>13-23</f>
        <v>-10</v>
      </c>
      <c r="K243" s="85">
        <f t="shared" ref="K243:K315" si="19">I243</f>
        <v>1.8461538461538463</v>
      </c>
    </row>
    <row r="244" spans="7:11">
      <c r="G244" s="88"/>
      <c r="I244" s="85">
        <f t="shared" si="17"/>
        <v>3.7692307692307692</v>
      </c>
      <c r="J244" s="179">
        <f>33-12</f>
        <v>21</v>
      </c>
      <c r="K244" s="85">
        <f t="shared" si="19"/>
        <v>3.7692307692307692</v>
      </c>
    </row>
    <row r="245" spans="7:11">
      <c r="G245" s="88"/>
      <c r="I245" s="85">
        <f t="shared" si="17"/>
        <v>5.1538461538461542</v>
      </c>
      <c r="J245" s="179">
        <f>32-9</f>
        <v>23</v>
      </c>
      <c r="K245" s="85">
        <f t="shared" si="19"/>
        <v>5.1538461538461542</v>
      </c>
    </row>
    <row r="246" spans="7:11">
      <c r="G246" s="88">
        <v>2018</v>
      </c>
      <c r="I246" s="85">
        <f t="shared" si="17"/>
        <v>3.5384615384615383</v>
      </c>
      <c r="J246" s="179">
        <f>19-20</f>
        <v>-1</v>
      </c>
      <c r="K246" s="85">
        <f t="shared" si="19"/>
        <v>3.5384615384615383</v>
      </c>
    </row>
    <row r="247" spans="7:11">
      <c r="G247" s="88"/>
      <c r="I247" s="85">
        <f t="shared" si="17"/>
        <v>4.0769230769230766</v>
      </c>
      <c r="J247" s="179">
        <f>16-12</f>
        <v>4</v>
      </c>
      <c r="K247" s="85">
        <f t="shared" si="19"/>
        <v>4.0769230769230766</v>
      </c>
    </row>
    <row r="248" spans="7:11">
      <c r="G248" s="88"/>
      <c r="I248" s="85">
        <f t="shared" si="17"/>
        <v>4.615384615384615</v>
      </c>
      <c r="J248" s="179">
        <f>15-11</f>
        <v>4</v>
      </c>
      <c r="K248" s="85">
        <f t="shared" si="19"/>
        <v>4.615384615384615</v>
      </c>
    </row>
    <row r="249" spans="7:11">
      <c r="G249" s="88"/>
      <c r="I249" s="85">
        <f t="shared" si="17"/>
        <v>6.2307692307692308</v>
      </c>
      <c r="J249" s="179">
        <f>29-7</f>
        <v>22</v>
      </c>
      <c r="K249" s="85">
        <f t="shared" si="19"/>
        <v>6.2307692307692308</v>
      </c>
    </row>
    <row r="250" spans="7:11">
      <c r="G250" s="88"/>
      <c r="I250" s="85">
        <f t="shared" si="17"/>
        <v>6.8461538461538458</v>
      </c>
      <c r="J250" s="179">
        <v>14</v>
      </c>
      <c r="K250" s="85">
        <f t="shared" si="19"/>
        <v>6.8461538461538458</v>
      </c>
    </row>
    <row r="251" spans="7:11">
      <c r="G251" s="88"/>
      <c r="I251" s="85">
        <f t="shared" si="17"/>
        <v>5.9230769230769234</v>
      </c>
      <c r="J251" s="179">
        <v>6</v>
      </c>
      <c r="K251" s="85">
        <f t="shared" si="19"/>
        <v>5.9230769230769234</v>
      </c>
    </row>
    <row r="252" spans="7:11">
      <c r="G252" s="88"/>
      <c r="I252" s="85">
        <f t="shared" si="17"/>
        <v>3.8461538461538463</v>
      </c>
      <c r="J252" s="179">
        <v>-3</v>
      </c>
      <c r="K252" s="85">
        <f t="shared" si="19"/>
        <v>3.8461538461538463</v>
      </c>
    </row>
    <row r="253" spans="7:11">
      <c r="G253" s="88"/>
      <c r="I253" s="85">
        <f t="shared" si="17"/>
        <v>6.7692307692307692</v>
      </c>
      <c r="J253" s="179">
        <v>12</v>
      </c>
      <c r="K253" s="85">
        <f t="shared" si="19"/>
        <v>6.7692307692307692</v>
      </c>
    </row>
    <row r="254" spans="7:11">
      <c r="G254" s="88"/>
      <c r="I254" s="85">
        <f t="shared" ref="I254" si="20">AVERAGE(J242:J254)</f>
        <v>7.6923076923076925</v>
      </c>
      <c r="J254" s="179">
        <v>13</v>
      </c>
      <c r="K254" s="85">
        <f t="shared" ref="K254:K256" si="21">I254</f>
        <v>7.6923076923076925</v>
      </c>
    </row>
    <row r="255" spans="7:11">
      <c r="G255" s="88"/>
      <c r="I255" s="85">
        <f t="shared" ref="I255" si="22">AVERAGE(J243:J255)</f>
        <v>9.1538461538461533</v>
      </c>
      <c r="J255" s="179">
        <v>14</v>
      </c>
      <c r="K255" s="85">
        <f t="shared" ref="K255" si="23">I255</f>
        <v>9.1538461538461533</v>
      </c>
    </row>
    <row r="256" spans="7:11">
      <c r="G256" s="88"/>
      <c r="I256" s="85">
        <f>AVERAGE(J243:J256)</f>
        <v>9.5</v>
      </c>
      <c r="J256" s="179">
        <v>14</v>
      </c>
      <c r="K256" s="85">
        <f t="shared" si="21"/>
        <v>9.5</v>
      </c>
    </row>
    <row r="257" spans="7:11">
      <c r="G257" s="88"/>
      <c r="I257" s="85">
        <f t="shared" ref="I257:I268" si="24">AVERAGE(J242:J257)</f>
        <v>8.125</v>
      </c>
      <c r="J257" s="179">
        <v>2</v>
      </c>
      <c r="K257" s="85">
        <f t="shared" si="19"/>
        <v>8.125</v>
      </c>
    </row>
    <row r="258" spans="7:11">
      <c r="G258" s="88">
        <v>2019</v>
      </c>
      <c r="I258" s="85">
        <f t="shared" si="24"/>
        <v>8.875</v>
      </c>
      <c r="J258" s="1">
        <v>7</v>
      </c>
      <c r="K258" s="85">
        <f t="shared" si="19"/>
        <v>8.875</v>
      </c>
    </row>
    <row r="259" spans="7:11">
      <c r="I259" s="85">
        <f t="shared" si="24"/>
        <v>8.5625</v>
      </c>
      <c r="J259" s="1">
        <f>6-21</f>
        <v>-15</v>
      </c>
      <c r="K259" s="85">
        <f t="shared" si="19"/>
        <v>8.5625</v>
      </c>
    </row>
    <row r="260" spans="7:11">
      <c r="I260" s="85">
        <f t="shared" si="24"/>
        <v>5.9375</v>
      </c>
      <c r="J260" s="1">
        <f>4-25</f>
        <v>-21</v>
      </c>
      <c r="K260" s="85">
        <f t="shared" si="19"/>
        <v>5.9375</v>
      </c>
    </row>
    <row r="261" spans="7:11">
      <c r="I261" s="85">
        <f t="shared" si="24"/>
        <v>3.875</v>
      </c>
      <c r="J261" s="1">
        <f>7-17</f>
        <v>-10</v>
      </c>
      <c r="K261" s="85">
        <f t="shared" si="19"/>
        <v>3.875</v>
      </c>
    </row>
    <row r="262" spans="7:11">
      <c r="I262" s="85">
        <f t="shared" si="24"/>
        <v>3.625</v>
      </c>
      <c r="J262" s="1">
        <f>9-14</f>
        <v>-5</v>
      </c>
      <c r="K262" s="85">
        <f t="shared" si="19"/>
        <v>3.625</v>
      </c>
    </row>
    <row r="263" spans="7:11">
      <c r="I263" s="85">
        <f t="shared" si="24"/>
        <v>2.75</v>
      </c>
      <c r="J263" s="1">
        <f>7-17</f>
        <v>-10</v>
      </c>
      <c r="K263" s="85">
        <f t="shared" si="19"/>
        <v>2.75</v>
      </c>
    </row>
    <row r="264" spans="7:11">
      <c r="I264" s="85">
        <f t="shared" si="24"/>
        <v>1.625</v>
      </c>
      <c r="J264" s="1">
        <v>-14</v>
      </c>
      <c r="K264" s="85">
        <f t="shared" si="19"/>
        <v>1.625</v>
      </c>
    </row>
    <row r="265" spans="7:11">
      <c r="I265" s="85">
        <f t="shared" si="24"/>
        <v>-1.0625</v>
      </c>
      <c r="J265" s="1">
        <f>7-28</f>
        <v>-21</v>
      </c>
      <c r="K265" s="85">
        <f t="shared" si="19"/>
        <v>-1.0625</v>
      </c>
    </row>
    <row r="266" spans="7:11">
      <c r="I266" s="85">
        <f t="shared" si="24"/>
        <v>-4</v>
      </c>
      <c r="J266" s="1">
        <f>6-39</f>
        <v>-33</v>
      </c>
      <c r="K266" s="85">
        <f t="shared" si="19"/>
        <v>-4</v>
      </c>
    </row>
    <row r="267" spans="7:11">
      <c r="I267" s="85">
        <f t="shared" si="24"/>
        <v>-6.5</v>
      </c>
      <c r="J267" s="1">
        <f>7-41</f>
        <v>-34</v>
      </c>
      <c r="K267" s="85">
        <f t="shared" si="19"/>
        <v>-6.5</v>
      </c>
    </row>
    <row r="268" spans="7:11">
      <c r="I268" s="85">
        <f t="shared" si="24"/>
        <v>-8.3125</v>
      </c>
      <c r="J268" s="1">
        <f>14-46</f>
        <v>-32</v>
      </c>
      <c r="K268" s="85">
        <f t="shared" si="19"/>
        <v>-8.3125</v>
      </c>
    </row>
    <row r="269" spans="7:11">
      <c r="I269" s="85">
        <f t="shared" si="17"/>
        <v>-17.46153846153846</v>
      </c>
      <c r="J269" s="1">
        <f>4-45</f>
        <v>-41</v>
      </c>
      <c r="K269" s="85">
        <f t="shared" si="19"/>
        <v>-17.46153846153846</v>
      </c>
    </row>
    <row r="270" spans="7:11">
      <c r="G270" s="1">
        <v>2020</v>
      </c>
      <c r="I270" s="85">
        <f t="shared" si="17"/>
        <v>-20.23076923076923</v>
      </c>
      <c r="J270" s="1">
        <f>4-38</f>
        <v>-34</v>
      </c>
      <c r="K270" s="85">
        <f t="shared" si="19"/>
        <v>-20.23076923076923</v>
      </c>
    </row>
    <row r="271" spans="7:11">
      <c r="I271" s="85">
        <f t="shared" si="17"/>
        <v>-24</v>
      </c>
      <c r="J271" s="1">
        <v>-42</v>
      </c>
      <c r="K271" s="85">
        <f t="shared" si="19"/>
        <v>-24</v>
      </c>
    </row>
    <row r="272" spans="7:11">
      <c r="I272" s="85">
        <f t="shared" si="17"/>
        <v>-23.923076923076923</v>
      </c>
      <c r="J272" s="1">
        <v>-14</v>
      </c>
      <c r="K272" s="85">
        <f t="shared" si="19"/>
        <v>-23.923076923076923</v>
      </c>
    </row>
    <row r="273" spans="7:11">
      <c r="I273" s="85">
        <f t="shared" si="17"/>
        <v>-26.46153846153846</v>
      </c>
      <c r="J273" s="1">
        <v>-54</v>
      </c>
      <c r="K273" s="85">
        <f t="shared" si="19"/>
        <v>-26.46153846153846</v>
      </c>
    </row>
    <row r="274" spans="7:11">
      <c r="I274" s="85">
        <f t="shared" si="17"/>
        <v>-31.076923076923077</v>
      </c>
      <c r="J274" s="1">
        <f>6-76</f>
        <v>-70</v>
      </c>
      <c r="K274" s="85">
        <f t="shared" si="19"/>
        <v>-31.076923076923077</v>
      </c>
    </row>
    <row r="275" spans="7:11">
      <c r="I275" s="85">
        <f t="shared" si="17"/>
        <v>-34.92307692307692</v>
      </c>
      <c r="J275" s="1">
        <f>7-62</f>
        <v>-55</v>
      </c>
      <c r="K275" s="85">
        <f t="shared" si="19"/>
        <v>-34.92307692307692</v>
      </c>
    </row>
    <row r="276" spans="7:11">
      <c r="I276" s="85">
        <f t="shared" si="17"/>
        <v>-35.07692307692308</v>
      </c>
      <c r="J276" s="1">
        <f>27-39</f>
        <v>-12</v>
      </c>
      <c r="K276" s="85">
        <f t="shared" si="19"/>
        <v>-35.07692307692308</v>
      </c>
    </row>
    <row r="277" spans="7:11">
      <c r="I277" s="85">
        <f t="shared" si="17"/>
        <v>-34.615384615384613</v>
      </c>
      <c r="J277" s="1">
        <f>25-33</f>
        <v>-8</v>
      </c>
      <c r="K277" s="85">
        <f t="shared" si="19"/>
        <v>-34.615384615384613</v>
      </c>
    </row>
    <row r="278" spans="7:11">
      <c r="I278" s="85">
        <f t="shared" si="17"/>
        <v>-33.07692307692308</v>
      </c>
      <c r="J278" s="1">
        <f>26-27</f>
        <v>-1</v>
      </c>
      <c r="K278" s="85">
        <f t="shared" si="19"/>
        <v>-33.07692307692308</v>
      </c>
    </row>
    <row r="279" spans="7:11">
      <c r="I279" s="85">
        <f t="shared" si="17"/>
        <v>-30.923076923076923</v>
      </c>
      <c r="J279" s="1">
        <f>26-31</f>
        <v>-5</v>
      </c>
      <c r="K279" s="85">
        <f t="shared" si="19"/>
        <v>-30.923076923076923</v>
      </c>
    </row>
    <row r="280" spans="7:11">
      <c r="I280" s="85">
        <f t="shared" si="17"/>
        <v>-26.46153846153846</v>
      </c>
      <c r="J280" s="1">
        <f>47-23</f>
        <v>24</v>
      </c>
      <c r="K280" s="85">
        <f t="shared" si="19"/>
        <v>-26.46153846153846</v>
      </c>
    </row>
    <row r="281" spans="7:11">
      <c r="I281" s="85">
        <f t="shared" si="17"/>
        <v>-21.76923076923077</v>
      </c>
      <c r="J281" s="1">
        <f>47-18</f>
        <v>29</v>
      </c>
      <c r="K281" s="85">
        <f t="shared" si="19"/>
        <v>-21.76923076923077</v>
      </c>
    </row>
    <row r="282" spans="7:11">
      <c r="G282" s="1">
        <v>2021</v>
      </c>
      <c r="I282" s="85">
        <f t="shared" si="17"/>
        <v>-17.384615384615383</v>
      </c>
      <c r="J282" s="1">
        <f>30-14</f>
        <v>16</v>
      </c>
      <c r="K282" s="85">
        <f t="shared" si="19"/>
        <v>-17.384615384615383</v>
      </c>
    </row>
    <row r="283" spans="7:11">
      <c r="I283" s="85">
        <f t="shared" si="17"/>
        <v>-14.23076923076923</v>
      </c>
      <c r="J283" s="1">
        <f>19-12</f>
        <v>7</v>
      </c>
      <c r="K283" s="85">
        <f t="shared" si="19"/>
        <v>-14.23076923076923</v>
      </c>
    </row>
    <row r="284" spans="7:11">
      <c r="I284" s="85">
        <f t="shared" si="17"/>
        <v>-8.7692307692307701</v>
      </c>
      <c r="J284" s="1">
        <f>41-12</f>
        <v>29</v>
      </c>
      <c r="K284" s="85">
        <f t="shared" si="19"/>
        <v>-8.7692307692307701</v>
      </c>
    </row>
    <row r="285" spans="7:11">
      <c r="I285" s="85">
        <f t="shared" si="17"/>
        <v>-4.615384615384615</v>
      </c>
      <c r="J285" s="1">
        <f>53-13</f>
        <v>40</v>
      </c>
      <c r="K285" s="85">
        <f t="shared" si="19"/>
        <v>-4.615384615384615</v>
      </c>
    </row>
    <row r="286" spans="7:11">
      <c r="I286" s="85">
        <f t="shared" si="17"/>
        <v>2.2307692307692308</v>
      </c>
      <c r="J286" s="1">
        <f>48-13</f>
        <v>35</v>
      </c>
      <c r="K286" s="85">
        <f t="shared" si="19"/>
        <v>2.2307692307692308</v>
      </c>
    </row>
    <row r="287" spans="7:11">
      <c r="I287" s="85">
        <f t="shared" si="17"/>
        <v>10.615384615384615</v>
      </c>
      <c r="J287" s="1">
        <f>53-14</f>
        <v>39</v>
      </c>
      <c r="K287" s="85">
        <f t="shared" si="19"/>
        <v>10.615384615384615</v>
      </c>
    </row>
    <row r="288" spans="7:11">
      <c r="I288" s="85">
        <f t="shared" si="17"/>
        <v>17.846153846153847</v>
      </c>
      <c r="J288" s="1">
        <f>51-12</f>
        <v>39</v>
      </c>
      <c r="K288" s="85">
        <f t="shared" si="19"/>
        <v>17.846153846153847</v>
      </c>
    </row>
    <row r="289" spans="7:11">
      <c r="I289" s="85">
        <f t="shared" si="17"/>
        <v>17.846153846153847</v>
      </c>
      <c r="J289" s="1">
        <f>16-28</f>
        <v>-12</v>
      </c>
      <c r="K289" s="85">
        <f t="shared" si="19"/>
        <v>17.846153846153847</v>
      </c>
    </row>
    <row r="290" spans="7:11">
      <c r="I290" s="85">
        <f t="shared" si="17"/>
        <v>18.153846153846153</v>
      </c>
      <c r="J290" s="1">
        <f>22-26</f>
        <v>-4</v>
      </c>
      <c r="K290" s="85">
        <f t="shared" si="19"/>
        <v>18.153846153846153</v>
      </c>
    </row>
    <row r="291" spans="7:11">
      <c r="I291" s="85">
        <f t="shared" si="17"/>
        <v>17.384615384615383</v>
      </c>
      <c r="J291" s="1">
        <f>16-27</f>
        <v>-11</v>
      </c>
      <c r="K291" s="85">
        <f t="shared" si="19"/>
        <v>17.384615384615383</v>
      </c>
    </row>
    <row r="292" spans="7:11">
      <c r="I292" s="85">
        <f t="shared" si="17"/>
        <v>17.615384615384617</v>
      </c>
      <c r="J292" s="1">
        <f>16-18</f>
        <v>-2</v>
      </c>
      <c r="K292" s="85">
        <f t="shared" si="19"/>
        <v>17.615384615384617</v>
      </c>
    </row>
    <row r="293" spans="7:11">
      <c r="I293" s="85">
        <f t="shared" si="17"/>
        <v>16.23076923076923</v>
      </c>
      <c r="J293" s="1">
        <f>18-12</f>
        <v>6</v>
      </c>
      <c r="K293" s="85">
        <f t="shared" si="19"/>
        <v>16.23076923076923</v>
      </c>
    </row>
    <row r="294" spans="7:11">
      <c r="G294" s="1">
        <v>2022</v>
      </c>
      <c r="I294" s="85">
        <f t="shared" si="17"/>
        <v>12.153846153846153</v>
      </c>
      <c r="J294" s="1">
        <f>13-37</f>
        <v>-24</v>
      </c>
      <c r="K294" s="85">
        <f t="shared" si="19"/>
        <v>12.153846153846153</v>
      </c>
    </row>
    <row r="295" spans="7:11">
      <c r="I295" s="85">
        <f t="shared" si="17"/>
        <v>10.153846153846153</v>
      </c>
      <c r="J295" s="1">
        <f>20-30</f>
        <v>-10</v>
      </c>
      <c r="K295" s="85">
        <f t="shared" si="19"/>
        <v>10.153846153846153</v>
      </c>
    </row>
    <row r="296" spans="7:11">
      <c r="I296" s="85">
        <f t="shared" si="17"/>
        <v>9.1538461538461533</v>
      </c>
      <c r="J296" s="1">
        <f>24-30</f>
        <v>-6</v>
      </c>
      <c r="K296" s="85">
        <f t="shared" si="19"/>
        <v>9.1538461538461533</v>
      </c>
    </row>
    <row r="297" spans="7:11">
      <c r="I297" s="85">
        <f t="shared" si="17"/>
        <v>9.3076923076923084</v>
      </c>
      <c r="J297" s="1">
        <f>44-13</f>
        <v>31</v>
      </c>
      <c r="K297" s="85">
        <f t="shared" si="19"/>
        <v>9.3076923076923084</v>
      </c>
    </row>
    <row r="298" spans="7:11">
      <c r="I298" s="85">
        <f t="shared" si="17"/>
        <v>7.1538461538461542</v>
      </c>
      <c r="J298" s="1">
        <f>27-15</f>
        <v>12</v>
      </c>
      <c r="K298" s="85">
        <f t="shared" si="19"/>
        <v>7.1538461538461542</v>
      </c>
    </row>
    <row r="299" spans="7:11">
      <c r="I299" s="85">
        <f t="shared" si="17"/>
        <v>4.7692307692307692</v>
      </c>
      <c r="J299" s="1">
        <f>29-25</f>
        <v>4</v>
      </c>
      <c r="K299" s="85">
        <f t="shared" si="19"/>
        <v>4.7692307692307692</v>
      </c>
    </row>
    <row r="300" spans="7:11">
      <c r="I300" s="85">
        <f t="shared" si="17"/>
        <v>1.2307692307692308</v>
      </c>
      <c r="J300" s="1">
        <f>24-31</f>
        <v>-7</v>
      </c>
      <c r="K300" s="85">
        <f t="shared" si="19"/>
        <v>1.2307692307692308</v>
      </c>
    </row>
    <row r="301" spans="7:11">
      <c r="I301" s="85">
        <f t="shared" si="17"/>
        <v>-3.2307692307692308</v>
      </c>
      <c r="J301" s="1">
        <f>17-36</f>
        <v>-19</v>
      </c>
      <c r="K301" s="85">
        <f t="shared" si="19"/>
        <v>-3.2307692307692308</v>
      </c>
    </row>
    <row r="302" spans="7:11">
      <c r="I302" s="85">
        <f t="shared" si="17"/>
        <v>-4.2307692307692308</v>
      </c>
      <c r="J302" s="1">
        <f>14-39</f>
        <v>-25</v>
      </c>
      <c r="K302" s="85">
        <f t="shared" si="19"/>
        <v>-4.2307692307692308</v>
      </c>
    </row>
    <row r="303" spans="7:11">
      <c r="I303" s="85">
        <f t="shared" si="17"/>
        <v>-6.6923076923076925</v>
      </c>
      <c r="J303" s="1">
        <f>11-47</f>
        <v>-36</v>
      </c>
      <c r="K303" s="85">
        <f t="shared" si="19"/>
        <v>-6.6923076923076925</v>
      </c>
    </row>
    <row r="304" spans="7:11">
      <c r="I304" s="85">
        <f t="shared" si="17"/>
        <v>-5.6923076923076925</v>
      </c>
      <c r="J304" s="1">
        <f>20-18</f>
        <v>2</v>
      </c>
      <c r="K304" s="85">
        <f t="shared" si="19"/>
        <v>-5.6923076923076925</v>
      </c>
    </row>
    <row r="305" spans="7:11">
      <c r="I305" s="85">
        <f t="shared" si="17"/>
        <v>-6.4615384615384617</v>
      </c>
      <c r="J305" s="1">
        <f>11-23</f>
        <v>-12</v>
      </c>
      <c r="K305" s="85">
        <f t="shared" si="19"/>
        <v>-6.4615384615384617</v>
      </c>
    </row>
    <row r="306" spans="7:11">
      <c r="G306" s="1">
        <v>2023</v>
      </c>
      <c r="I306" s="85">
        <f t="shared" si="17"/>
        <v>-9.2307692307692299</v>
      </c>
      <c r="J306" s="1">
        <f>11-41</f>
        <v>-30</v>
      </c>
      <c r="K306" s="85">
        <f t="shared" si="19"/>
        <v>-9.2307692307692299</v>
      </c>
    </row>
    <row r="307" spans="7:11">
      <c r="I307" s="85">
        <f t="shared" si="17"/>
        <v>-9.3076923076923084</v>
      </c>
      <c r="J307" s="1">
        <f>21-46</f>
        <v>-25</v>
      </c>
      <c r="K307" s="85">
        <f t="shared" si="19"/>
        <v>-9.3076923076923084</v>
      </c>
    </row>
    <row r="308" spans="7:11">
      <c r="I308" s="85">
        <f t="shared" si="17"/>
        <v>-10.76923076923077</v>
      </c>
      <c r="J308" s="1">
        <f>12-41</f>
        <v>-29</v>
      </c>
      <c r="K308" s="85">
        <f t="shared" si="19"/>
        <v>-10.76923076923077</v>
      </c>
    </row>
    <row r="309" spans="7:11">
      <c r="I309" s="85">
        <f t="shared" si="17"/>
        <v>-12.692307692307692</v>
      </c>
      <c r="J309" s="1">
        <f>13-44</f>
        <v>-31</v>
      </c>
      <c r="K309" s="85">
        <f t="shared" si="19"/>
        <v>-12.692307692307692</v>
      </c>
    </row>
    <row r="310" spans="7:11">
      <c r="I310" s="85">
        <f t="shared" si="17"/>
        <v>-15.23076923076923</v>
      </c>
      <c r="J310" s="1">
        <f>25-27</f>
        <v>-2</v>
      </c>
      <c r="K310" s="85">
        <f t="shared" si="19"/>
        <v>-15.23076923076923</v>
      </c>
    </row>
    <row r="311" spans="7:11">
      <c r="I311" s="85">
        <f t="shared" si="17"/>
        <v>-16.923076923076923</v>
      </c>
      <c r="J311" s="1">
        <f>25-35</f>
        <v>-10</v>
      </c>
      <c r="K311" s="85">
        <f t="shared" si="19"/>
        <v>-16.923076923076923</v>
      </c>
    </row>
    <row r="312" spans="7:11">
      <c r="I312" s="85">
        <f t="shared" si="17"/>
        <v>-17.53846153846154</v>
      </c>
      <c r="J312" s="1">
        <f>30-34</f>
        <v>-4</v>
      </c>
      <c r="K312" s="85">
        <f t="shared" si="19"/>
        <v>-17.53846153846154</v>
      </c>
    </row>
    <row r="313" spans="7:11">
      <c r="I313" s="85">
        <f t="shared" si="17"/>
        <v>-20.076923076923077</v>
      </c>
      <c r="J313" s="1">
        <f>12-52</f>
        <v>-40</v>
      </c>
      <c r="K313" s="85">
        <f t="shared" si="19"/>
        <v>-20.076923076923077</v>
      </c>
    </row>
    <row r="314" spans="7:11">
      <c r="I314" s="85">
        <f t="shared" si="17"/>
        <v>-22.46153846153846</v>
      </c>
      <c r="J314" s="1">
        <f>3-53</f>
        <v>-50</v>
      </c>
      <c r="K314" s="85">
        <f t="shared" si="19"/>
        <v>-22.46153846153846</v>
      </c>
    </row>
    <row r="315" spans="7:11">
      <c r="I315" s="85">
        <f t="shared" si="17"/>
        <v>-23.384615384615383</v>
      </c>
      <c r="J315" s="1">
        <f>5-42</f>
        <v>-37</v>
      </c>
      <c r="K315" s="85">
        <f t="shared" si="19"/>
        <v>-23.384615384615383</v>
      </c>
    </row>
    <row r="316" spans="7:11">
      <c r="I316" s="85">
        <f t="shared" ref="I316" si="25">AVERAGE(J304:J316)</f>
        <v>-23.76923076923077</v>
      </c>
      <c r="J316" s="1">
        <f>14-55</f>
        <v>-41</v>
      </c>
      <c r="K316" s="85">
        <f t="shared" ref="K316" si="26">I316</f>
        <v>-23.76923076923077</v>
      </c>
    </row>
    <row r="317" spans="7:11">
      <c r="I317" s="85">
        <f t="shared" ref="I317:I336" si="27">AVERAGE(J305:J317)</f>
        <v>-23</v>
      </c>
      <c r="J317" s="1">
        <f>38-26</f>
        <v>12</v>
      </c>
      <c r="K317" s="85">
        <f t="shared" ref="K317:K336" si="28">I317</f>
        <v>-23</v>
      </c>
    </row>
    <row r="318" spans="7:11">
      <c r="G318" s="1">
        <v>2024</v>
      </c>
      <c r="I318" s="85">
        <f t="shared" si="27"/>
        <v>-25.307692307692307</v>
      </c>
      <c r="J318" s="1">
        <f>10-52</f>
        <v>-42</v>
      </c>
      <c r="K318" s="85">
        <f t="shared" si="28"/>
        <v>-25.307692307692307</v>
      </c>
    </row>
    <row r="319" spans="7:11">
      <c r="I319" s="85">
        <f t="shared" si="27"/>
        <v>-25.384615384615383</v>
      </c>
      <c r="J319" s="1">
        <f>14-45</f>
        <v>-31</v>
      </c>
      <c r="K319" s="85">
        <f t="shared" si="28"/>
        <v>-25.384615384615383</v>
      </c>
    </row>
    <row r="320" spans="7:11">
      <c r="I320" s="85">
        <f t="shared" si="27"/>
        <v>-25.76923076923077</v>
      </c>
      <c r="J320" s="1">
        <f>13-43</f>
        <v>-30</v>
      </c>
      <c r="K320" s="85">
        <f t="shared" si="28"/>
        <v>-25.76923076923077</v>
      </c>
    </row>
    <row r="321" spans="7:11">
      <c r="I321" s="85">
        <f t="shared" si="27"/>
        <v>-23.692307692307693</v>
      </c>
      <c r="J321" s="1">
        <f>31-33</f>
        <v>-2</v>
      </c>
      <c r="K321" s="85">
        <f t="shared" si="28"/>
        <v>-23.692307692307693</v>
      </c>
    </row>
    <row r="322" spans="7:11">
      <c r="I322" s="85">
        <f t="shared" si="27"/>
        <v>-20.692307692307693</v>
      </c>
      <c r="J322" s="1">
        <f>33-25</f>
        <v>8</v>
      </c>
      <c r="K322" s="85">
        <f t="shared" si="28"/>
        <v>-20.692307692307693</v>
      </c>
    </row>
    <row r="323" spans="7:11">
      <c r="I323" s="85">
        <f t="shared" si="27"/>
        <v>-20.46153846153846</v>
      </c>
      <c r="J323" s="1">
        <f>30-29</f>
        <v>1</v>
      </c>
      <c r="K323" s="85">
        <f t="shared" si="28"/>
        <v>-20.46153846153846</v>
      </c>
    </row>
    <row r="324" spans="7:11">
      <c r="I324" s="85">
        <f t="shared" si="27"/>
        <v>-19.53846153846154</v>
      </c>
      <c r="J324" s="1">
        <f>30-28</f>
        <v>2</v>
      </c>
      <c r="K324" s="85">
        <f t="shared" si="28"/>
        <v>-19.53846153846154</v>
      </c>
    </row>
    <row r="325" spans="7:11">
      <c r="I325" s="85">
        <f t="shared" si="27"/>
        <v>-18.846153846153847</v>
      </c>
      <c r="J325" s="1">
        <f>25-20</f>
        <v>5</v>
      </c>
      <c r="K325" s="85">
        <f t="shared" si="28"/>
        <v>-18.846153846153847</v>
      </c>
    </row>
    <row r="326" spans="7:11">
      <c r="I326" s="85">
        <f t="shared" si="27"/>
        <v>-17.615384615384617</v>
      </c>
      <c r="J326" s="1">
        <f>10-34</f>
        <v>-24</v>
      </c>
      <c r="K326" s="85">
        <f t="shared" si="28"/>
        <v>-17.615384615384617</v>
      </c>
    </row>
    <row r="327" spans="7:11">
      <c r="I327" s="85">
        <f t="shared" si="27"/>
        <v>-16.53846153846154</v>
      </c>
      <c r="J327" s="1">
        <f>9-45</f>
        <v>-36</v>
      </c>
      <c r="K327" s="85">
        <f t="shared" si="28"/>
        <v>-16.53846153846154</v>
      </c>
    </row>
    <row r="328" spans="7:11">
      <c r="I328" s="85">
        <f t="shared" si="27"/>
        <v>-15</v>
      </c>
      <c r="J328" s="1">
        <f>13-30</f>
        <v>-17</v>
      </c>
      <c r="K328" s="85">
        <f t="shared" si="28"/>
        <v>-15</v>
      </c>
    </row>
    <row r="329" spans="7:11">
      <c r="I329" s="85">
        <f t="shared" si="27"/>
        <v>-14</v>
      </c>
      <c r="J329" s="1">
        <f>9-37</f>
        <v>-28</v>
      </c>
      <c r="K329" s="85">
        <f t="shared" si="28"/>
        <v>-14</v>
      </c>
    </row>
    <row r="330" spans="7:11">
      <c r="G330" s="1">
        <v>2025</v>
      </c>
      <c r="I330" s="85">
        <f t="shared" si="27"/>
        <v>-14.076923076923077</v>
      </c>
      <c r="J330" s="1">
        <f>29-18</f>
        <v>11</v>
      </c>
      <c r="K330" s="85">
        <f t="shared" si="28"/>
        <v>-14.076923076923077</v>
      </c>
    </row>
    <row r="331" spans="7:11">
      <c r="I331" s="85">
        <f t="shared" si="27"/>
        <v>-11.307692307692308</v>
      </c>
      <c r="J331" s="1">
        <f>24-30</f>
        <v>-6</v>
      </c>
      <c r="K331" s="85">
        <f t="shared" si="28"/>
        <v>-11.307692307692308</v>
      </c>
    </row>
    <row r="332" spans="7:11">
      <c r="I332" s="85">
        <f t="shared" si="27"/>
        <v>-11</v>
      </c>
      <c r="J332" s="1">
        <f>10-37</f>
        <v>-27</v>
      </c>
      <c r="K332" s="85">
        <f t="shared" si="28"/>
        <v>-11</v>
      </c>
    </row>
    <row r="333" spans="7:11">
      <c r="I333" s="85">
        <f t="shared" si="27"/>
        <v>-8.9230769230769234</v>
      </c>
      <c r="J333" s="1">
        <f>15-18</f>
        <v>-3</v>
      </c>
      <c r="K333" s="85">
        <f t="shared" si="28"/>
        <v>-8.9230769230769234</v>
      </c>
    </row>
    <row r="334" spans="7:11">
      <c r="I334" s="85">
        <f t="shared" si="27"/>
        <v>-7.615384615384615</v>
      </c>
      <c r="J334" s="1">
        <f>29-14</f>
        <v>15</v>
      </c>
      <c r="K334" s="85">
        <f t="shared" si="28"/>
        <v>-7.615384615384615</v>
      </c>
    </row>
    <row r="335" spans="7:11">
      <c r="I335" s="85">
        <f t="shared" si="27"/>
        <v>-6.5384615384615383</v>
      </c>
      <c r="J335" s="1">
        <f>33-11</f>
        <v>22</v>
      </c>
      <c r="K335" s="85">
        <f t="shared" si="28"/>
        <v>-6.5384615384615383</v>
      </c>
    </row>
    <row r="336" spans="7:11">
      <c r="I336" s="85">
        <f t="shared" si="27"/>
        <v>-5.3076923076923075</v>
      </c>
      <c r="J336" s="1">
        <f>35-18</f>
        <v>17</v>
      </c>
      <c r="K336" s="85">
        <f t="shared" si="28"/>
        <v>-5.3076923076923075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135"/>
  <sheetViews>
    <sheetView showGridLines="0" zoomScale="62" zoomScaleNormal="62" workbookViewId="0">
      <selection activeCell="X5" sqref="X5"/>
    </sheetView>
  </sheetViews>
  <sheetFormatPr defaultColWidth="11.42578125" defaultRowHeight="12.75"/>
  <cols>
    <col min="1" max="1" width="32.42578125" style="5" bestFit="1" customWidth="1"/>
    <col min="2" max="2" width="12.5703125" style="4" bestFit="1" customWidth="1"/>
    <col min="3" max="3" width="12.5703125" style="4" customWidth="1"/>
    <col min="4" max="11" width="7.42578125" style="5" customWidth="1"/>
    <col min="12" max="12" width="7.140625" style="5" customWidth="1"/>
    <col min="13" max="21" width="7.42578125" style="5" customWidth="1"/>
    <col min="22" max="25" width="7.5703125" style="5" customWidth="1"/>
    <col min="26" max="26" width="8.5703125" style="5" customWidth="1"/>
    <col min="27" max="27" width="9.42578125" style="5" customWidth="1"/>
    <col min="28" max="16384" width="11.42578125" style="5"/>
  </cols>
  <sheetData>
    <row r="1" spans="1:27" s="96" customFormat="1" ht="15.75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81" t="s">
        <v>187</v>
      </c>
    </row>
    <row r="2" spans="1:27" s="96" customFormat="1" ht="15.7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7" t="s">
        <v>55</v>
      </c>
    </row>
    <row r="3" spans="1:27" s="96" customFormat="1" ht="15.7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7"/>
    </row>
    <row r="4" spans="1:27" s="96" customFormat="1" ht="28.5">
      <c r="A4" s="214" t="s">
        <v>182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</row>
    <row r="5" spans="1:27" s="96" customFormat="1" ht="12.75" customHeight="1">
      <c r="A5" s="98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</row>
    <row r="6" spans="1:27" s="99" customFormat="1" ht="25.5" customHeight="1">
      <c r="A6" s="216" t="s">
        <v>84</v>
      </c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</row>
    <row r="7" spans="1:27" s="99" customFormat="1" ht="25.5" customHeight="1">
      <c r="A7" s="217" t="s">
        <v>85</v>
      </c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  <c r="X7" s="217"/>
      <c r="Y7" s="217"/>
      <c r="Z7" s="217"/>
      <c r="AA7" s="217"/>
    </row>
    <row r="8" spans="1:27" s="96" customFormat="1" ht="9" customHeight="1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100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</row>
    <row r="9" spans="1:27" s="101" customFormat="1" ht="21">
      <c r="A9" s="218" t="s">
        <v>185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</row>
    <row r="10" spans="1:27" s="101" customFormat="1" ht="12.75" customHeight="1">
      <c r="A10" s="102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</row>
    <row r="11" spans="1:27" ht="15.75">
      <c r="A11" s="221" t="s">
        <v>158</v>
      </c>
      <c r="B11" s="222"/>
      <c r="C11" s="222"/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</row>
    <row r="12" spans="1:27" ht="6" customHeight="1"/>
    <row r="13" spans="1:27" s="104" customFormat="1" ht="109.5" customHeight="1">
      <c r="A13" s="223" t="s">
        <v>103</v>
      </c>
      <c r="B13" s="219" t="s">
        <v>87</v>
      </c>
      <c r="C13" s="220"/>
      <c r="D13" s="219" t="s">
        <v>88</v>
      </c>
      <c r="E13" s="220"/>
      <c r="F13" s="219" t="s">
        <v>89</v>
      </c>
      <c r="G13" s="220"/>
      <c r="H13" s="219" t="s">
        <v>90</v>
      </c>
      <c r="I13" s="220"/>
      <c r="J13" s="219" t="s">
        <v>91</v>
      </c>
      <c r="K13" s="229"/>
      <c r="L13" s="230" t="s">
        <v>92</v>
      </c>
      <c r="M13" s="220"/>
      <c r="N13" s="219" t="s">
        <v>93</v>
      </c>
      <c r="O13" s="220"/>
      <c r="P13" s="219" t="s">
        <v>94</v>
      </c>
      <c r="Q13" s="220"/>
      <c r="R13" s="219" t="s">
        <v>95</v>
      </c>
      <c r="S13" s="220"/>
      <c r="T13" s="219" t="s">
        <v>96</v>
      </c>
      <c r="U13" s="220"/>
      <c r="V13" s="219" t="s">
        <v>97</v>
      </c>
      <c r="W13" s="220"/>
      <c r="X13" s="219" t="s">
        <v>98</v>
      </c>
      <c r="Y13" s="220"/>
      <c r="Z13" s="219" t="s">
        <v>99</v>
      </c>
      <c r="AA13" s="220"/>
    </row>
    <row r="14" spans="1:27" s="104" customFormat="1" ht="15.75">
      <c r="A14" s="224"/>
      <c r="B14" s="18"/>
      <c r="C14" s="105"/>
      <c r="D14" s="227" t="s">
        <v>108</v>
      </c>
      <c r="E14" s="228"/>
      <c r="F14" s="227" t="s">
        <v>70</v>
      </c>
      <c r="G14" s="228"/>
      <c r="H14" s="227" t="s">
        <v>71</v>
      </c>
      <c r="I14" s="228"/>
      <c r="J14" s="227" t="s">
        <v>109</v>
      </c>
      <c r="K14" s="228"/>
      <c r="L14" s="227" t="s">
        <v>110</v>
      </c>
      <c r="M14" s="228"/>
      <c r="N14" s="227" t="s">
        <v>74</v>
      </c>
      <c r="O14" s="228"/>
      <c r="P14" s="227" t="s">
        <v>75</v>
      </c>
      <c r="Q14" s="228"/>
      <c r="R14" s="227" t="s">
        <v>76</v>
      </c>
      <c r="S14" s="228"/>
      <c r="T14" s="227" t="s">
        <v>77</v>
      </c>
      <c r="U14" s="228"/>
      <c r="V14" s="227" t="s">
        <v>111</v>
      </c>
      <c r="W14" s="228"/>
      <c r="X14" s="227" t="s">
        <v>79</v>
      </c>
      <c r="Y14" s="228"/>
      <c r="Z14" s="227" t="s">
        <v>112</v>
      </c>
      <c r="AA14" s="228"/>
    </row>
    <row r="15" spans="1:27" s="104" customFormat="1" ht="15.75">
      <c r="A15" s="225"/>
      <c r="B15" s="106" t="s">
        <v>86</v>
      </c>
      <c r="C15" s="107" t="s">
        <v>86</v>
      </c>
      <c r="D15" s="107" t="s">
        <v>86</v>
      </c>
      <c r="E15" s="107" t="s">
        <v>86</v>
      </c>
      <c r="F15" s="107" t="s">
        <v>86</v>
      </c>
      <c r="G15" s="107" t="s">
        <v>86</v>
      </c>
      <c r="H15" s="107" t="s">
        <v>86</v>
      </c>
      <c r="I15" s="107" t="s">
        <v>86</v>
      </c>
      <c r="J15" s="107" t="s">
        <v>86</v>
      </c>
      <c r="K15" s="107" t="s">
        <v>86</v>
      </c>
      <c r="L15" s="107" t="s">
        <v>86</v>
      </c>
      <c r="M15" s="107" t="s">
        <v>86</v>
      </c>
      <c r="N15" s="107" t="s">
        <v>86</v>
      </c>
      <c r="O15" s="107" t="s">
        <v>86</v>
      </c>
      <c r="P15" s="107" t="s">
        <v>86</v>
      </c>
      <c r="Q15" s="107" t="s">
        <v>86</v>
      </c>
      <c r="R15" s="107" t="s">
        <v>86</v>
      </c>
      <c r="S15" s="107" t="s">
        <v>86</v>
      </c>
      <c r="T15" s="107" t="s">
        <v>86</v>
      </c>
      <c r="U15" s="107" t="s">
        <v>86</v>
      </c>
      <c r="V15" s="107" t="s">
        <v>86</v>
      </c>
      <c r="W15" s="107" t="s">
        <v>86</v>
      </c>
      <c r="X15" s="107" t="s">
        <v>86</v>
      </c>
      <c r="Y15" s="107" t="s">
        <v>86</v>
      </c>
      <c r="Z15" s="107" t="s">
        <v>86</v>
      </c>
      <c r="AA15" s="107" t="s">
        <v>86</v>
      </c>
    </row>
    <row r="16" spans="1:27" s="104" customFormat="1" ht="15.75">
      <c r="A16" s="226"/>
      <c r="B16" s="108" t="s">
        <v>9</v>
      </c>
      <c r="C16" s="108" t="s">
        <v>10</v>
      </c>
      <c r="D16" s="108" t="s">
        <v>9</v>
      </c>
      <c r="E16" s="108" t="s">
        <v>10</v>
      </c>
      <c r="F16" s="108" t="s">
        <v>9</v>
      </c>
      <c r="G16" s="108" t="s">
        <v>10</v>
      </c>
      <c r="H16" s="108" t="s">
        <v>9</v>
      </c>
      <c r="I16" s="108" t="s">
        <v>10</v>
      </c>
      <c r="J16" s="108" t="s">
        <v>9</v>
      </c>
      <c r="K16" s="108" t="s">
        <v>10</v>
      </c>
      <c r="L16" s="108" t="s">
        <v>9</v>
      </c>
      <c r="M16" s="108" t="s">
        <v>10</v>
      </c>
      <c r="N16" s="108" t="s">
        <v>9</v>
      </c>
      <c r="O16" s="108" t="s">
        <v>10</v>
      </c>
      <c r="P16" s="108" t="s">
        <v>9</v>
      </c>
      <c r="Q16" s="108" t="s">
        <v>10</v>
      </c>
      <c r="R16" s="108" t="s">
        <v>9</v>
      </c>
      <c r="S16" s="108" t="s">
        <v>10</v>
      </c>
      <c r="T16" s="108" t="s">
        <v>9</v>
      </c>
      <c r="U16" s="108" t="s">
        <v>10</v>
      </c>
      <c r="V16" s="108" t="s">
        <v>9</v>
      </c>
      <c r="W16" s="108" t="s">
        <v>10</v>
      </c>
      <c r="X16" s="108" t="s">
        <v>9</v>
      </c>
      <c r="Y16" s="108" t="s">
        <v>10</v>
      </c>
      <c r="Z16" s="108" t="s">
        <v>9</v>
      </c>
      <c r="AA16" s="108" t="s">
        <v>10</v>
      </c>
    </row>
    <row r="17" spans="1:27" s="104" customFormat="1" ht="11.25" customHeight="1">
      <c r="A17" s="109"/>
      <c r="B17" s="110"/>
      <c r="C17" s="110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2"/>
    </row>
    <row r="18" spans="1:27" s="104" customFormat="1" ht="15.75">
      <c r="A18" s="113" t="s">
        <v>100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 t="s">
        <v>59</v>
      </c>
      <c r="AA18" s="107"/>
    </row>
    <row r="19" spans="1:27" s="104" customFormat="1" ht="15.75">
      <c r="A19" s="109"/>
      <c r="B19" s="110"/>
      <c r="C19" s="110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5"/>
    </row>
    <row r="20" spans="1:27" s="104" customFormat="1" ht="12.75" customHeight="1">
      <c r="A20" s="116" t="s">
        <v>113</v>
      </c>
      <c r="B20" s="117">
        <f>IRJ1_FR!B20</f>
        <v>33.4</v>
      </c>
      <c r="C20" s="117">
        <f>IRJ1_FR!C20</f>
        <v>35</v>
      </c>
      <c r="D20" s="118">
        <f>IRJ1_FR!D20</f>
        <v>17.299999999999997</v>
      </c>
      <c r="E20" s="119">
        <f>IRJ1_FR!E20</f>
        <v>19.899999999999991</v>
      </c>
      <c r="F20" s="117">
        <f>IRJ1_FR!F20</f>
        <v>1.8999999999999915</v>
      </c>
      <c r="G20" s="119">
        <f>IRJ1_FR!G20</f>
        <v>1.8999999999999915</v>
      </c>
      <c r="H20" s="117">
        <f>IRJ1_FR!H20</f>
        <v>88.8</v>
      </c>
      <c r="I20" s="119">
        <f>IRJ1_FR!I20</f>
        <v>88.8</v>
      </c>
      <c r="J20" s="117">
        <f>IRJ1_FR!J20</f>
        <v>20.799999999999997</v>
      </c>
      <c r="K20" s="119">
        <f>IRJ1_FR!K20</f>
        <v>0</v>
      </c>
      <c r="L20" s="117">
        <f>IRJ1_FR!L20</f>
        <v>16.599999999999994</v>
      </c>
      <c r="M20" s="119">
        <f>IRJ1_FR!M20</f>
        <v>16.599999999999994</v>
      </c>
      <c r="N20" s="117">
        <f>IRJ1_FR!N20</f>
        <v>0</v>
      </c>
      <c r="O20" s="119">
        <f>IRJ1_FR!O20</f>
        <v>0</v>
      </c>
      <c r="P20" s="117">
        <f>IRJ1_FR!P20</f>
        <v>21</v>
      </c>
      <c r="Q20" s="119">
        <f>IRJ1_FR!Q20</f>
        <v>21</v>
      </c>
      <c r="R20" s="117">
        <f>IRJ1_FR!R20</f>
        <v>87</v>
      </c>
      <c r="S20" s="119">
        <f>IRJ1_FR!S20</f>
        <v>87.1</v>
      </c>
      <c r="T20" s="117">
        <f>IRJ1_FR!T20</f>
        <v>0</v>
      </c>
      <c r="U20" s="119">
        <f>IRJ1_FR!U20</f>
        <v>0</v>
      </c>
      <c r="V20" s="117">
        <f>IRJ1_FR!V20</f>
        <v>0</v>
      </c>
      <c r="W20" s="119">
        <f>IRJ1_FR!W20</f>
        <v>49.9</v>
      </c>
      <c r="X20" s="117">
        <f>IRJ1_FR!X20</f>
        <v>35.899999999999991</v>
      </c>
      <c r="Y20" s="119">
        <f>IRJ1_FR!Y20</f>
        <v>35.899999999999991</v>
      </c>
      <c r="Z20" s="117">
        <f>IRJ1_FR!Z20</f>
        <v>0</v>
      </c>
      <c r="AA20" s="119">
        <f>IRJ1_FR!AA20</f>
        <v>7.0999999999999943</v>
      </c>
    </row>
    <row r="21" spans="1:27" s="104" customFormat="1" ht="12.75" customHeight="1">
      <c r="A21" s="116" t="s">
        <v>114</v>
      </c>
      <c r="B21" s="117">
        <f>IRJ1_FR!B21</f>
        <v>56</v>
      </c>
      <c r="C21" s="117">
        <f>IRJ1_FR!C21</f>
        <v>46.900000000000006</v>
      </c>
      <c r="D21" s="118">
        <f>IRJ1_FR!D21</f>
        <v>75.5</v>
      </c>
      <c r="E21" s="119">
        <f>IRJ1_FR!E21</f>
        <v>58.1</v>
      </c>
      <c r="F21" s="117">
        <f>IRJ1_FR!F21</f>
        <v>98.100000000000009</v>
      </c>
      <c r="G21" s="119">
        <f>IRJ1_FR!G21</f>
        <v>98.100000000000009</v>
      </c>
      <c r="H21" s="117">
        <f>IRJ1_FR!H21</f>
        <v>11.200000000000001</v>
      </c>
      <c r="I21" s="119">
        <f>IRJ1_FR!I21</f>
        <v>11.200000000000001</v>
      </c>
      <c r="J21" s="117">
        <f>IRJ1_FR!J21</f>
        <v>79.2</v>
      </c>
      <c r="K21" s="119">
        <f>IRJ1_FR!K21</f>
        <v>45</v>
      </c>
      <c r="L21" s="117">
        <f>IRJ1_FR!L21</f>
        <v>63.2</v>
      </c>
      <c r="M21" s="119">
        <f>IRJ1_FR!M21</f>
        <v>53.7</v>
      </c>
      <c r="N21" s="117">
        <f>IRJ1_FR!N21</f>
        <v>100</v>
      </c>
      <c r="O21" s="119">
        <f>IRJ1_FR!O21</f>
        <v>65</v>
      </c>
      <c r="P21" s="117">
        <f>IRJ1_FR!P21</f>
        <v>79</v>
      </c>
      <c r="Q21" s="119">
        <f>IRJ1_FR!Q21</f>
        <v>76</v>
      </c>
      <c r="R21" s="117">
        <f>IRJ1_FR!R21</f>
        <v>10.100000000000001</v>
      </c>
      <c r="S21" s="119">
        <f>IRJ1_FR!S21</f>
        <v>7.9</v>
      </c>
      <c r="T21" s="117">
        <f>IRJ1_FR!T21</f>
        <v>63.300000000000004</v>
      </c>
      <c r="U21" s="119">
        <f>IRJ1_FR!U21</f>
        <v>73.5</v>
      </c>
      <c r="V21" s="117">
        <f>IRJ1_FR!V21</f>
        <v>100</v>
      </c>
      <c r="W21" s="119">
        <f>IRJ1_FR!W21</f>
        <v>50.1</v>
      </c>
      <c r="X21" s="117">
        <f>IRJ1_FR!X21</f>
        <v>29.5</v>
      </c>
      <c r="Y21" s="119">
        <f>IRJ1_FR!Y21</f>
        <v>27.1</v>
      </c>
      <c r="Z21" s="117">
        <f>IRJ1_FR!Z21</f>
        <v>93.300000000000011</v>
      </c>
      <c r="AA21" s="119">
        <f>IRJ1_FR!AA21</f>
        <v>75.8</v>
      </c>
    </row>
    <row r="22" spans="1:27" s="104" customFormat="1" ht="12.75" customHeight="1">
      <c r="A22" s="116" t="s">
        <v>115</v>
      </c>
      <c r="B22" s="117">
        <f>IRJ1_FR!B22</f>
        <v>10.600000000000001</v>
      </c>
      <c r="C22" s="117">
        <f>IRJ1_FR!C22</f>
        <v>18.100000000000001</v>
      </c>
      <c r="D22" s="118">
        <f>IRJ1_FR!D22</f>
        <v>7.2</v>
      </c>
      <c r="E22" s="119">
        <f>IRJ1_FR!E22</f>
        <v>22</v>
      </c>
      <c r="F22" s="117">
        <f>IRJ1_FR!F22</f>
        <v>0</v>
      </c>
      <c r="G22" s="119">
        <f>IRJ1_FR!G22</f>
        <v>0</v>
      </c>
      <c r="H22" s="117">
        <f>IRJ1_FR!H22</f>
        <v>0</v>
      </c>
      <c r="I22" s="119">
        <f>IRJ1_FR!I22</f>
        <v>0</v>
      </c>
      <c r="J22" s="117">
        <f>IRJ1_FR!J22</f>
        <v>0</v>
      </c>
      <c r="K22" s="119">
        <f>IRJ1_FR!K22</f>
        <v>55</v>
      </c>
      <c r="L22" s="117">
        <f>IRJ1_FR!L22</f>
        <v>20.200000000000003</v>
      </c>
      <c r="M22" s="119">
        <f>IRJ1_FR!M22</f>
        <v>29.700000000000003</v>
      </c>
      <c r="N22" s="117">
        <f>IRJ1_FR!N22</f>
        <v>0</v>
      </c>
      <c r="O22" s="119">
        <f>IRJ1_FR!O22</f>
        <v>35</v>
      </c>
      <c r="P22" s="117">
        <f>IRJ1_FR!P22</f>
        <v>0</v>
      </c>
      <c r="Q22" s="119">
        <f>IRJ1_FR!Q22</f>
        <v>3</v>
      </c>
      <c r="R22" s="117">
        <f>IRJ1_FR!R22</f>
        <v>2.9000000000000004</v>
      </c>
      <c r="S22" s="119">
        <f>IRJ1_FR!S22</f>
        <v>5</v>
      </c>
      <c r="T22" s="117">
        <f>IRJ1_FR!T22</f>
        <v>36.700000000000003</v>
      </c>
      <c r="U22" s="119">
        <f>IRJ1_FR!U22</f>
        <v>26.5</v>
      </c>
      <c r="V22" s="117">
        <f>IRJ1_FR!V22</f>
        <v>0</v>
      </c>
      <c r="W22" s="119">
        <f>IRJ1_FR!W22</f>
        <v>0</v>
      </c>
      <c r="X22" s="117">
        <f>IRJ1_FR!X22</f>
        <v>34.6</v>
      </c>
      <c r="Y22" s="119">
        <f>IRJ1_FR!Y22</f>
        <v>37</v>
      </c>
      <c r="Z22" s="117">
        <f>IRJ1_FR!Z22</f>
        <v>6.7</v>
      </c>
      <c r="AA22" s="119">
        <f>IRJ1_FR!AA22</f>
        <v>17.100000000000001</v>
      </c>
    </row>
    <row r="23" spans="1:27" s="104" customFormat="1" ht="12.75" customHeight="1">
      <c r="A23" s="113"/>
      <c r="B23" s="120"/>
      <c r="C23" s="121"/>
      <c r="D23" s="122"/>
      <c r="E23" s="123"/>
      <c r="F23" s="124"/>
      <c r="G23" s="125"/>
      <c r="H23" s="126"/>
      <c r="I23" s="127"/>
      <c r="J23" s="124"/>
      <c r="K23" s="125"/>
      <c r="L23" s="124"/>
      <c r="M23" s="125"/>
      <c r="N23" s="124"/>
      <c r="O23" s="125"/>
      <c r="P23" s="124"/>
      <c r="Q23" s="125"/>
      <c r="R23" s="124"/>
      <c r="S23" s="125"/>
      <c r="T23" s="124"/>
      <c r="U23" s="125"/>
      <c r="V23" s="124"/>
      <c r="W23" s="125"/>
      <c r="X23" s="124"/>
      <c r="Y23" s="125"/>
      <c r="Z23" s="124"/>
      <c r="AA23" s="128"/>
    </row>
    <row r="24" spans="1:27" s="104" customFormat="1" ht="15.75">
      <c r="A24" s="113" t="s">
        <v>101</v>
      </c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30"/>
    </row>
    <row r="25" spans="1:27" s="104" customFormat="1" ht="12.75" customHeight="1">
      <c r="A25" s="109"/>
      <c r="B25" s="131"/>
      <c r="C25" s="132"/>
      <c r="D25" s="124"/>
      <c r="E25" s="123"/>
      <c r="F25" s="122"/>
      <c r="G25" s="123"/>
      <c r="H25" s="123"/>
      <c r="I25" s="122"/>
      <c r="J25" s="122"/>
      <c r="K25" s="123"/>
      <c r="L25" s="122"/>
      <c r="M25" s="123"/>
      <c r="N25" s="122"/>
      <c r="O25" s="123"/>
      <c r="P25" s="122"/>
      <c r="Q25" s="123"/>
      <c r="R25" s="122"/>
      <c r="S25" s="123"/>
      <c r="T25" s="122"/>
      <c r="U25" s="123"/>
      <c r="V25" s="122"/>
      <c r="W25" s="123"/>
      <c r="X25" s="122"/>
      <c r="Y25" s="123"/>
      <c r="Z25" s="122"/>
      <c r="AA25" s="133"/>
    </row>
    <row r="26" spans="1:27" s="104" customFormat="1" ht="12.75" customHeight="1">
      <c r="A26" s="116" t="s">
        <v>116</v>
      </c>
      <c r="B26" s="117">
        <f>IRJ1_FR!B26</f>
        <v>6.7</v>
      </c>
      <c r="C26" s="117">
        <f>IRJ1_FR!C26</f>
        <v>8</v>
      </c>
      <c r="D26" s="118">
        <f>IRJ1_FR!D26</f>
        <v>3.5999999999999943</v>
      </c>
      <c r="E26" s="119">
        <f>IRJ1_FR!E26</f>
        <v>2.8999999999999915</v>
      </c>
      <c r="F26" s="117">
        <f>IRJ1_FR!F26</f>
        <v>0</v>
      </c>
      <c r="G26" s="119">
        <f>IRJ1_FR!G26</f>
        <v>0</v>
      </c>
      <c r="H26" s="117">
        <f>IRJ1_FR!H26</f>
        <v>3.5999999999999943</v>
      </c>
      <c r="I26" s="119">
        <f>IRJ1_FR!I26</f>
        <v>3.5999999999999943</v>
      </c>
      <c r="J26" s="117">
        <f>IRJ1_FR!J26</f>
        <v>0</v>
      </c>
      <c r="K26" s="119">
        <f>IRJ1_FR!K26</f>
        <v>0</v>
      </c>
      <c r="L26" s="117">
        <f>IRJ1_FR!L26</f>
        <v>0</v>
      </c>
      <c r="M26" s="119">
        <f>IRJ1_FR!M26</f>
        <v>0</v>
      </c>
      <c r="N26" s="117">
        <f>IRJ1_FR!N26</f>
        <v>0</v>
      </c>
      <c r="O26" s="119">
        <f>IRJ1_FR!O26</f>
        <v>0</v>
      </c>
      <c r="P26" s="117">
        <f>IRJ1_FR!P26</f>
        <v>0</v>
      </c>
      <c r="Q26" s="119">
        <f>IRJ1_FR!Q26</f>
        <v>0</v>
      </c>
      <c r="R26" s="117">
        <f>IRJ1_FR!R26</f>
        <v>0</v>
      </c>
      <c r="S26" s="119">
        <f>IRJ1_FR!S26</f>
        <v>0</v>
      </c>
      <c r="T26" s="117">
        <f>IRJ1_FR!T26</f>
        <v>0</v>
      </c>
      <c r="U26" s="119">
        <f>IRJ1_FR!U26</f>
        <v>0</v>
      </c>
      <c r="V26" s="117">
        <f>IRJ1_FR!V26</f>
        <v>19.699999999999989</v>
      </c>
      <c r="W26" s="119">
        <f>IRJ1_FR!W26</f>
        <v>19.799999999999997</v>
      </c>
      <c r="X26" s="117">
        <f>IRJ1_FR!X26</f>
        <v>36</v>
      </c>
      <c r="Y26" s="119">
        <f>IRJ1_FR!Y26</f>
        <v>35.899999999999991</v>
      </c>
      <c r="Z26" s="117">
        <f>IRJ1_FR!Z26</f>
        <v>0</v>
      </c>
      <c r="AA26" s="119">
        <f>IRJ1_FR!AA26</f>
        <v>24.700000000000003</v>
      </c>
    </row>
    <row r="27" spans="1:27" s="104" customFormat="1" ht="12.75" customHeight="1">
      <c r="A27" s="116" t="s">
        <v>117</v>
      </c>
      <c r="B27" s="117">
        <f>IRJ1_FR!B27</f>
        <v>62</v>
      </c>
      <c r="C27" s="117">
        <f>IRJ1_FR!C27</f>
        <v>60.5</v>
      </c>
      <c r="D27" s="118">
        <f>IRJ1_FR!D27</f>
        <v>86.100000000000009</v>
      </c>
      <c r="E27" s="119">
        <f>IRJ1_FR!E27</f>
        <v>71.900000000000006</v>
      </c>
      <c r="F27" s="117">
        <f>IRJ1_FR!F27</f>
        <v>100</v>
      </c>
      <c r="G27" s="119">
        <f>IRJ1_FR!G27</f>
        <v>100</v>
      </c>
      <c r="H27" s="117">
        <f>IRJ1_FR!H27</f>
        <v>6.9</v>
      </c>
      <c r="I27" s="119">
        <f>IRJ1_FR!I27</f>
        <v>6.9</v>
      </c>
      <c r="J27" s="117">
        <f>IRJ1_FR!J27</f>
        <v>80.300000000000011</v>
      </c>
      <c r="K27" s="119">
        <f>IRJ1_FR!K27</f>
        <v>71.3</v>
      </c>
      <c r="L27" s="117">
        <f>IRJ1_FR!L27</f>
        <v>79.400000000000006</v>
      </c>
      <c r="M27" s="119">
        <f>IRJ1_FR!M27</f>
        <v>95.2</v>
      </c>
      <c r="N27" s="117">
        <f>IRJ1_FR!N27</f>
        <v>56.6</v>
      </c>
      <c r="O27" s="119">
        <f>IRJ1_FR!O27</f>
        <v>56.7</v>
      </c>
      <c r="P27" s="117">
        <f>IRJ1_FR!P27</f>
        <v>48.900000000000006</v>
      </c>
      <c r="Q27" s="119">
        <f>IRJ1_FR!Q27</f>
        <v>48.900000000000006</v>
      </c>
      <c r="R27" s="117">
        <f>IRJ1_FR!R27</f>
        <v>97.800000000000011</v>
      </c>
      <c r="S27" s="119">
        <f>IRJ1_FR!S27</f>
        <v>97.800000000000011</v>
      </c>
      <c r="T27" s="117">
        <f>IRJ1_FR!T27</f>
        <v>44.1</v>
      </c>
      <c r="U27" s="119">
        <f>IRJ1_FR!U27</f>
        <v>44.400000000000006</v>
      </c>
      <c r="V27" s="117">
        <f>IRJ1_FR!V27</f>
        <v>3.9000000000000004</v>
      </c>
      <c r="W27" s="119">
        <f>IRJ1_FR!W27</f>
        <v>39.200000000000003</v>
      </c>
      <c r="X27" s="117">
        <f>IRJ1_FR!X27</f>
        <v>11</v>
      </c>
      <c r="Y27" s="119">
        <f>IRJ1_FR!Y27</f>
        <v>8.7000000000000011</v>
      </c>
      <c r="Z27" s="117">
        <f>IRJ1_FR!Z27</f>
        <v>83.4</v>
      </c>
      <c r="AA27" s="119">
        <f>IRJ1_FR!AA27</f>
        <v>58.7</v>
      </c>
    </row>
    <row r="28" spans="1:27" s="104" customFormat="1" ht="12.75" customHeight="1">
      <c r="A28" s="116" t="s">
        <v>118</v>
      </c>
      <c r="B28" s="117">
        <f>IRJ1_FR!B28</f>
        <v>31.200000000000003</v>
      </c>
      <c r="C28" s="117">
        <f>IRJ1_FR!C28</f>
        <v>31.5</v>
      </c>
      <c r="D28" s="118">
        <f>IRJ1_FR!D28</f>
        <v>10.3</v>
      </c>
      <c r="E28" s="119">
        <f>IRJ1_FR!E28</f>
        <v>25.200000000000003</v>
      </c>
      <c r="F28" s="117">
        <f>IRJ1_FR!F28</f>
        <v>0</v>
      </c>
      <c r="G28" s="119">
        <f>IRJ1_FR!G28</f>
        <v>0</v>
      </c>
      <c r="H28" s="117">
        <f>IRJ1_FR!H28</f>
        <v>89.5</v>
      </c>
      <c r="I28" s="119">
        <f>IRJ1_FR!I28</f>
        <v>89.5</v>
      </c>
      <c r="J28" s="117">
        <f>IRJ1_FR!J28</f>
        <v>19.700000000000003</v>
      </c>
      <c r="K28" s="119">
        <f>IRJ1_FR!K28</f>
        <v>28.700000000000003</v>
      </c>
      <c r="L28" s="117">
        <f>IRJ1_FR!L28</f>
        <v>20.6</v>
      </c>
      <c r="M28" s="119">
        <f>IRJ1_FR!M28</f>
        <v>4.8000000000000007</v>
      </c>
      <c r="N28" s="117">
        <f>IRJ1_FR!N28</f>
        <v>43.400000000000006</v>
      </c>
      <c r="O28" s="119">
        <f>IRJ1_FR!O28</f>
        <v>43.300000000000004</v>
      </c>
      <c r="P28" s="117">
        <f>IRJ1_FR!P28</f>
        <v>51.1</v>
      </c>
      <c r="Q28" s="119">
        <f>IRJ1_FR!Q28</f>
        <v>51.1</v>
      </c>
      <c r="R28" s="117">
        <f>IRJ1_FR!R28</f>
        <v>2.2000000000000002</v>
      </c>
      <c r="S28" s="119">
        <f>IRJ1_FR!S28</f>
        <v>2.2000000000000002</v>
      </c>
      <c r="T28" s="117">
        <f>IRJ1_FR!T28</f>
        <v>55.900000000000006</v>
      </c>
      <c r="U28" s="119">
        <f>IRJ1_FR!U28</f>
        <v>55.6</v>
      </c>
      <c r="V28" s="117">
        <f>IRJ1_FR!V28</f>
        <v>76.400000000000006</v>
      </c>
      <c r="W28" s="119">
        <f>IRJ1_FR!W28</f>
        <v>41</v>
      </c>
      <c r="X28" s="117">
        <f>IRJ1_FR!X28</f>
        <v>53</v>
      </c>
      <c r="Y28" s="119">
        <f>IRJ1_FR!Y28</f>
        <v>55.400000000000006</v>
      </c>
      <c r="Z28" s="117">
        <f>IRJ1_FR!Z28</f>
        <v>16.600000000000001</v>
      </c>
      <c r="AA28" s="119">
        <f>IRJ1_FR!AA28</f>
        <v>16.600000000000001</v>
      </c>
    </row>
    <row r="29" spans="1:27" s="104" customFormat="1" ht="12.75" customHeight="1">
      <c r="A29" s="134"/>
      <c r="B29" s="131"/>
      <c r="C29" s="132"/>
      <c r="D29" s="122"/>
      <c r="E29" s="123"/>
      <c r="F29" s="122"/>
      <c r="G29" s="123"/>
      <c r="H29" s="123"/>
      <c r="I29" s="122"/>
      <c r="J29" s="122"/>
      <c r="K29" s="123"/>
      <c r="L29" s="122"/>
      <c r="M29" s="123"/>
      <c r="N29" s="122"/>
      <c r="O29" s="123"/>
      <c r="P29" s="122"/>
      <c r="Q29" s="123"/>
      <c r="R29" s="122"/>
      <c r="S29" s="123"/>
      <c r="T29" s="122"/>
      <c r="U29" s="123"/>
      <c r="V29" s="122"/>
      <c r="W29" s="123"/>
      <c r="X29" s="122"/>
      <c r="Y29" s="123"/>
      <c r="Z29" s="122"/>
      <c r="AA29" s="133"/>
    </row>
    <row r="30" spans="1:27" s="104" customFormat="1" ht="15.75">
      <c r="A30" s="113" t="s">
        <v>102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30"/>
    </row>
    <row r="31" spans="1:27" s="104" customFormat="1" ht="12.75" customHeight="1">
      <c r="A31" s="109"/>
      <c r="B31" s="131"/>
      <c r="C31" s="132"/>
      <c r="D31" s="124"/>
      <c r="E31" s="123"/>
      <c r="F31" s="122"/>
      <c r="G31" s="123"/>
      <c r="H31" s="123"/>
      <c r="I31" s="122"/>
      <c r="J31" s="122"/>
      <c r="K31" s="123"/>
      <c r="L31" s="122"/>
      <c r="M31" s="123"/>
      <c r="N31" s="122"/>
      <c r="O31" s="123"/>
      <c r="P31" s="122"/>
      <c r="Q31" s="123"/>
      <c r="R31" s="122"/>
      <c r="S31" s="123"/>
      <c r="T31" s="122"/>
      <c r="U31" s="123"/>
      <c r="V31" s="122"/>
      <c r="W31" s="123"/>
      <c r="X31" s="122"/>
      <c r="Y31" s="123"/>
      <c r="Z31" s="122"/>
      <c r="AA31" s="133"/>
    </row>
    <row r="32" spans="1:27" s="104" customFormat="1" ht="12.75" customHeight="1">
      <c r="A32" s="116" t="s">
        <v>116</v>
      </c>
      <c r="B32" s="117">
        <f>IRJ1_FR!B32</f>
        <v>6.8000000000000007</v>
      </c>
      <c r="C32" s="117">
        <f>IRJ1_FR!C32</f>
        <v>7.6000000000000005</v>
      </c>
      <c r="D32" s="118">
        <f>IRJ1_FR!D32</f>
        <v>0</v>
      </c>
      <c r="E32" s="119">
        <f>IRJ1_FR!E32</f>
        <v>3</v>
      </c>
      <c r="F32" s="117">
        <f>IRJ1_FR!F32</f>
        <v>0</v>
      </c>
      <c r="G32" s="119">
        <f>IRJ1_FR!G32</f>
        <v>0</v>
      </c>
      <c r="H32" s="117">
        <f>IRJ1_FR!H32</f>
        <v>3.5999999999999943</v>
      </c>
      <c r="I32" s="119">
        <f>IRJ1_FR!I32</f>
        <v>3.5999999999999943</v>
      </c>
      <c r="J32" s="117">
        <f>IRJ1_FR!J32</f>
        <v>0</v>
      </c>
      <c r="K32" s="119">
        <f>IRJ1_FR!K32</f>
        <v>0</v>
      </c>
      <c r="L32" s="117">
        <f>IRJ1_FR!L32</f>
        <v>0</v>
      </c>
      <c r="M32" s="119">
        <f>IRJ1_FR!M32</f>
        <v>0</v>
      </c>
      <c r="N32" s="117">
        <f>IRJ1_FR!N32</f>
        <v>0</v>
      </c>
      <c r="O32" s="119">
        <f>IRJ1_FR!O32</f>
        <v>0</v>
      </c>
      <c r="P32" s="117">
        <f>IRJ1_FR!P32</f>
        <v>0</v>
      </c>
      <c r="Q32" s="119">
        <f>IRJ1_FR!Q32</f>
        <v>0</v>
      </c>
      <c r="R32" s="117">
        <f>IRJ1_FR!R32</f>
        <v>0</v>
      </c>
      <c r="S32" s="119">
        <f>IRJ1_FR!S32</f>
        <v>0</v>
      </c>
      <c r="T32" s="117">
        <f>IRJ1_FR!T32</f>
        <v>0</v>
      </c>
      <c r="U32" s="119">
        <f>IRJ1_FR!U32</f>
        <v>0</v>
      </c>
      <c r="V32" s="117">
        <f>IRJ1_FR!V32</f>
        <v>19.699999999999989</v>
      </c>
      <c r="W32" s="119">
        <f>IRJ1_FR!W32</f>
        <v>19.799999999999997</v>
      </c>
      <c r="X32" s="117">
        <f>IRJ1_FR!X32</f>
        <v>36</v>
      </c>
      <c r="Y32" s="119">
        <f>IRJ1_FR!Y32</f>
        <v>36</v>
      </c>
      <c r="Z32" s="117">
        <f>IRJ1_FR!Z32</f>
        <v>7.3999999999999915</v>
      </c>
      <c r="AA32" s="119">
        <f>IRJ1_FR!AA32</f>
        <v>18.599999999999994</v>
      </c>
    </row>
    <row r="33" spans="1:27" s="104" customFormat="1" ht="12.75" customHeight="1">
      <c r="A33" s="116" t="s">
        <v>117</v>
      </c>
      <c r="B33" s="117">
        <f>IRJ1_FR!B33</f>
        <v>43.900000000000006</v>
      </c>
      <c r="C33" s="117">
        <f>IRJ1_FR!C33</f>
        <v>42.300000000000004</v>
      </c>
      <c r="D33" s="118">
        <f>IRJ1_FR!D33</f>
        <v>91.5</v>
      </c>
      <c r="E33" s="119">
        <f>IRJ1_FR!E33</f>
        <v>80.2</v>
      </c>
      <c r="F33" s="117">
        <f>IRJ1_FR!F33</f>
        <v>100</v>
      </c>
      <c r="G33" s="119">
        <f>IRJ1_FR!G33</f>
        <v>100</v>
      </c>
      <c r="H33" s="117">
        <f>IRJ1_FR!H33</f>
        <v>6.9</v>
      </c>
      <c r="I33" s="119">
        <f>IRJ1_FR!I33</f>
        <v>6.9</v>
      </c>
      <c r="J33" s="117">
        <f>IRJ1_FR!J33</f>
        <v>80.300000000000011</v>
      </c>
      <c r="K33" s="119">
        <f>IRJ1_FR!K33</f>
        <v>71.3</v>
      </c>
      <c r="L33" s="117">
        <f>IRJ1_FR!L33</f>
        <v>79.400000000000006</v>
      </c>
      <c r="M33" s="119">
        <f>IRJ1_FR!M33</f>
        <v>95.2</v>
      </c>
      <c r="N33" s="117">
        <f>IRJ1_FR!N33</f>
        <v>44.300000000000004</v>
      </c>
      <c r="O33" s="119">
        <f>IRJ1_FR!O33</f>
        <v>44.5</v>
      </c>
      <c r="P33" s="117">
        <f>IRJ1_FR!P33</f>
        <v>48.900000000000006</v>
      </c>
      <c r="Q33" s="119">
        <f>IRJ1_FR!Q33</f>
        <v>48.900000000000006</v>
      </c>
      <c r="R33" s="117">
        <f>IRJ1_FR!R33</f>
        <v>16.900000000000002</v>
      </c>
      <c r="S33" s="119">
        <f>IRJ1_FR!S33</f>
        <v>10.600000000000001</v>
      </c>
      <c r="T33" s="117">
        <f>IRJ1_FR!T33</f>
        <v>53.2</v>
      </c>
      <c r="U33" s="119">
        <f>IRJ1_FR!U33</f>
        <v>52.800000000000004</v>
      </c>
      <c r="V33" s="117">
        <f>IRJ1_FR!V33</f>
        <v>3.9000000000000004</v>
      </c>
      <c r="W33" s="119">
        <f>IRJ1_FR!W33</f>
        <v>39.200000000000003</v>
      </c>
      <c r="X33" s="117">
        <f>IRJ1_FR!X33</f>
        <v>11</v>
      </c>
      <c r="Y33" s="119">
        <f>IRJ1_FR!Y33</f>
        <v>11</v>
      </c>
      <c r="Z33" s="117">
        <f>IRJ1_FR!Z33</f>
        <v>76</v>
      </c>
      <c r="AA33" s="119">
        <f>IRJ1_FR!AA33</f>
        <v>64.8</v>
      </c>
    </row>
    <row r="34" spans="1:27" s="104" customFormat="1" ht="12.75" customHeight="1">
      <c r="A34" s="116" t="s">
        <v>118</v>
      </c>
      <c r="B34" s="117">
        <f>IRJ1_FR!B34</f>
        <v>49.300000000000004</v>
      </c>
      <c r="C34" s="117">
        <f>IRJ1_FR!C34</f>
        <v>50.1</v>
      </c>
      <c r="D34" s="118">
        <f>IRJ1_FR!D34</f>
        <v>8.5</v>
      </c>
      <c r="E34" s="119">
        <f>IRJ1_FR!E34</f>
        <v>16.8</v>
      </c>
      <c r="F34" s="117">
        <f>IRJ1_FR!F34</f>
        <v>0</v>
      </c>
      <c r="G34" s="119">
        <f>IRJ1_FR!G34</f>
        <v>0</v>
      </c>
      <c r="H34" s="117">
        <f>IRJ1_FR!H34</f>
        <v>89.5</v>
      </c>
      <c r="I34" s="119">
        <f>IRJ1_FR!I34</f>
        <v>89.5</v>
      </c>
      <c r="J34" s="117">
        <f>IRJ1_FR!J34</f>
        <v>19.700000000000003</v>
      </c>
      <c r="K34" s="119">
        <f>IRJ1_FR!K34</f>
        <v>28.700000000000003</v>
      </c>
      <c r="L34" s="117">
        <f>IRJ1_FR!L34</f>
        <v>20.6</v>
      </c>
      <c r="M34" s="119">
        <f>IRJ1_FR!M34</f>
        <v>4.8000000000000007</v>
      </c>
      <c r="N34" s="117">
        <f>IRJ1_FR!N34</f>
        <v>55.7</v>
      </c>
      <c r="O34" s="119">
        <f>IRJ1_FR!O34</f>
        <v>55.5</v>
      </c>
      <c r="P34" s="117">
        <f>IRJ1_FR!P34</f>
        <v>51.1</v>
      </c>
      <c r="Q34" s="119">
        <f>IRJ1_FR!Q34</f>
        <v>51.1</v>
      </c>
      <c r="R34" s="117">
        <f>IRJ1_FR!R34</f>
        <v>83.100000000000009</v>
      </c>
      <c r="S34" s="119">
        <f>IRJ1_FR!S34</f>
        <v>89.4</v>
      </c>
      <c r="T34" s="117">
        <f>IRJ1_FR!T34</f>
        <v>46.800000000000004</v>
      </c>
      <c r="U34" s="119">
        <f>IRJ1_FR!U34</f>
        <v>47.2</v>
      </c>
      <c r="V34" s="117">
        <f>IRJ1_FR!V34</f>
        <v>76.400000000000006</v>
      </c>
      <c r="W34" s="119">
        <f>IRJ1_FR!W34</f>
        <v>41</v>
      </c>
      <c r="X34" s="117">
        <f>IRJ1_FR!X34</f>
        <v>53</v>
      </c>
      <c r="Y34" s="119">
        <f>IRJ1_FR!Y34</f>
        <v>53</v>
      </c>
      <c r="Z34" s="117">
        <f>IRJ1_FR!Z34</f>
        <v>16.600000000000001</v>
      </c>
      <c r="AA34" s="119">
        <f>IRJ1_FR!AA34</f>
        <v>16.600000000000001</v>
      </c>
    </row>
    <row r="35" spans="1:27" s="104" customFormat="1" ht="12.75" customHeight="1">
      <c r="A35" s="134"/>
      <c r="B35" s="131"/>
      <c r="C35" s="132"/>
      <c r="D35" s="122"/>
      <c r="E35" s="123"/>
      <c r="F35" s="122"/>
      <c r="G35" s="123"/>
      <c r="H35" s="123"/>
      <c r="I35" s="122"/>
      <c r="J35" s="122"/>
      <c r="K35" s="123"/>
      <c r="L35" s="122"/>
      <c r="M35" s="123"/>
      <c r="N35" s="122"/>
      <c r="O35" s="123"/>
      <c r="P35" s="122"/>
      <c r="Q35" s="123"/>
      <c r="R35" s="122"/>
      <c r="S35" s="123"/>
      <c r="T35" s="122"/>
      <c r="U35" s="123"/>
      <c r="V35" s="122"/>
      <c r="W35" s="123"/>
      <c r="X35" s="122"/>
      <c r="Y35" s="123"/>
      <c r="Z35" s="122"/>
      <c r="AA35" s="133"/>
    </row>
    <row r="36" spans="1:27" s="104" customFormat="1" ht="15.75">
      <c r="A36" s="113" t="s">
        <v>104</v>
      </c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30"/>
    </row>
    <row r="37" spans="1:27" s="104" customFormat="1" ht="12.75" customHeight="1">
      <c r="A37" s="109"/>
      <c r="B37" s="131"/>
      <c r="C37" s="132"/>
      <c r="D37" s="124"/>
      <c r="E37" s="123"/>
      <c r="F37" s="122"/>
      <c r="G37" s="123"/>
      <c r="H37" s="123"/>
      <c r="I37" s="122"/>
      <c r="J37" s="122"/>
      <c r="K37" s="123"/>
      <c r="L37" s="122"/>
      <c r="M37" s="123"/>
      <c r="N37" s="122"/>
      <c r="O37" s="123"/>
      <c r="P37" s="122"/>
      <c r="Q37" s="123"/>
      <c r="R37" s="122"/>
      <c r="S37" s="123"/>
      <c r="T37" s="122"/>
      <c r="U37" s="123"/>
      <c r="V37" s="122"/>
      <c r="W37" s="123"/>
      <c r="X37" s="122"/>
      <c r="Y37" s="123"/>
      <c r="Z37" s="122"/>
      <c r="AA37" s="133"/>
    </row>
    <row r="38" spans="1:27" s="104" customFormat="1" ht="12.75" customHeight="1">
      <c r="A38" s="116" t="s">
        <v>119</v>
      </c>
      <c r="B38" s="117">
        <f>IRJ1_FR!B38</f>
        <v>17.8</v>
      </c>
      <c r="C38" s="117">
        <f>IRJ1_FR!C38</f>
        <v>18.600000000000001</v>
      </c>
      <c r="D38" s="118">
        <f>IRJ1_FR!D38</f>
        <v>8.0999999999999943</v>
      </c>
      <c r="E38" s="119">
        <f>IRJ1_FR!E38</f>
        <v>8.0999999999999943</v>
      </c>
      <c r="F38" s="117">
        <f>IRJ1_FR!F38</f>
        <v>0</v>
      </c>
      <c r="G38" s="119">
        <f>IRJ1_FR!G38</f>
        <v>0</v>
      </c>
      <c r="H38" s="117">
        <f>IRJ1_FR!H38</f>
        <v>85.2</v>
      </c>
      <c r="I38" s="119">
        <f>IRJ1_FR!I38</f>
        <v>85.2</v>
      </c>
      <c r="J38" s="117">
        <f>IRJ1_FR!J38</f>
        <v>0</v>
      </c>
      <c r="K38" s="119">
        <f>IRJ1_FR!K38</f>
        <v>0</v>
      </c>
      <c r="L38" s="117">
        <f>IRJ1_FR!L38</f>
        <v>20.199999999999989</v>
      </c>
      <c r="M38" s="119">
        <f>IRJ1_FR!M38</f>
        <v>29.700000000000003</v>
      </c>
      <c r="N38" s="117">
        <f>IRJ1_FR!N38</f>
        <v>35</v>
      </c>
      <c r="O38" s="119">
        <f>IRJ1_FR!O38</f>
        <v>35</v>
      </c>
      <c r="P38" s="117">
        <f>IRJ1_FR!P38</f>
        <v>40.799999999999997</v>
      </c>
      <c r="Q38" s="119">
        <f>IRJ1_FR!Q38</f>
        <v>40.799999999999997</v>
      </c>
      <c r="R38" s="117">
        <f>IRJ1_FR!R38</f>
        <v>4.2999999999999972</v>
      </c>
      <c r="S38" s="119">
        <f>IRJ1_FR!S38</f>
        <v>4.2999999999999972</v>
      </c>
      <c r="T38" s="117">
        <f>IRJ1_FR!T38</f>
        <v>0</v>
      </c>
      <c r="U38" s="119">
        <f>IRJ1_FR!U38</f>
        <v>0</v>
      </c>
      <c r="V38" s="117">
        <f>IRJ1_FR!V38</f>
        <v>18.399999999999991</v>
      </c>
      <c r="W38" s="119">
        <f>IRJ1_FR!W38</f>
        <v>18.399999999999991</v>
      </c>
      <c r="X38" s="117">
        <f>IRJ1_FR!X38</f>
        <v>24</v>
      </c>
      <c r="Y38" s="119">
        <f>IRJ1_FR!Y38</f>
        <v>24</v>
      </c>
      <c r="Z38" s="117">
        <f>IRJ1_FR!Z38</f>
        <v>0</v>
      </c>
      <c r="AA38" s="119">
        <f>IRJ1_FR!AA38</f>
        <v>10</v>
      </c>
    </row>
    <row r="39" spans="1:27" s="104" customFormat="1" ht="12.75" customHeight="1">
      <c r="A39" s="116" t="s">
        <v>120</v>
      </c>
      <c r="B39" s="117">
        <f>IRJ1_FR!B39</f>
        <v>79.2</v>
      </c>
      <c r="C39" s="117">
        <f>IRJ1_FR!C39</f>
        <v>77.900000000000006</v>
      </c>
      <c r="D39" s="118">
        <f>IRJ1_FR!D39</f>
        <v>81.600000000000009</v>
      </c>
      <c r="E39" s="119">
        <f>IRJ1_FR!E39</f>
        <v>75.600000000000009</v>
      </c>
      <c r="F39" s="117">
        <f>IRJ1_FR!F39</f>
        <v>100</v>
      </c>
      <c r="G39" s="119">
        <f>IRJ1_FR!G39</f>
        <v>100</v>
      </c>
      <c r="H39" s="117">
        <f>IRJ1_FR!H39</f>
        <v>11.200000000000001</v>
      </c>
      <c r="I39" s="119">
        <f>IRJ1_FR!I39</f>
        <v>11.200000000000001</v>
      </c>
      <c r="J39" s="117">
        <f>IRJ1_FR!J39</f>
        <v>79.2</v>
      </c>
      <c r="K39" s="119">
        <f>IRJ1_FR!K39</f>
        <v>85.2</v>
      </c>
      <c r="L39" s="117">
        <f>IRJ1_FR!L39</f>
        <v>79.800000000000011</v>
      </c>
      <c r="M39" s="119">
        <f>IRJ1_FR!M39</f>
        <v>70.3</v>
      </c>
      <c r="N39" s="117">
        <f>IRJ1_FR!N39</f>
        <v>65</v>
      </c>
      <c r="O39" s="119">
        <f>IRJ1_FR!O39</f>
        <v>65</v>
      </c>
      <c r="P39" s="117">
        <f>IRJ1_FR!P39</f>
        <v>59.2</v>
      </c>
      <c r="Q39" s="119">
        <f>IRJ1_FR!Q39</f>
        <v>59.2</v>
      </c>
      <c r="R39" s="117">
        <f>IRJ1_FR!R39</f>
        <v>92.800000000000011</v>
      </c>
      <c r="S39" s="119">
        <f>IRJ1_FR!S39</f>
        <v>92.800000000000011</v>
      </c>
      <c r="T39" s="117">
        <f>IRJ1_FR!T39</f>
        <v>89</v>
      </c>
      <c r="U39" s="119">
        <f>IRJ1_FR!U39</f>
        <v>88.2</v>
      </c>
      <c r="V39" s="117">
        <f>IRJ1_FR!V39</f>
        <v>81.600000000000009</v>
      </c>
      <c r="W39" s="119">
        <f>IRJ1_FR!W39</f>
        <v>81.600000000000009</v>
      </c>
      <c r="X39" s="117">
        <f>IRJ1_FR!X39</f>
        <v>76</v>
      </c>
      <c r="Y39" s="119">
        <f>IRJ1_FR!Y39</f>
        <v>76</v>
      </c>
      <c r="Z39" s="117">
        <f>IRJ1_FR!Z39</f>
        <v>100</v>
      </c>
      <c r="AA39" s="119">
        <f>IRJ1_FR!AA39</f>
        <v>90</v>
      </c>
    </row>
    <row r="40" spans="1:27" s="104" customFormat="1" ht="12.75" customHeight="1">
      <c r="A40" s="116" t="s">
        <v>121</v>
      </c>
      <c r="B40" s="117">
        <f>IRJ1_FR!B40</f>
        <v>3</v>
      </c>
      <c r="C40" s="117">
        <f>IRJ1_FR!C40</f>
        <v>3.5</v>
      </c>
      <c r="D40" s="118">
        <f>IRJ1_FR!D40</f>
        <v>10.3</v>
      </c>
      <c r="E40" s="119">
        <f>IRJ1_FR!E40</f>
        <v>16.3</v>
      </c>
      <c r="F40" s="117">
        <f>IRJ1_FR!F40</f>
        <v>0</v>
      </c>
      <c r="G40" s="119">
        <f>IRJ1_FR!G40</f>
        <v>0</v>
      </c>
      <c r="H40" s="117">
        <f>IRJ1_FR!H40</f>
        <v>3.6</v>
      </c>
      <c r="I40" s="119">
        <f>IRJ1_FR!I40</f>
        <v>3.6</v>
      </c>
      <c r="J40" s="117">
        <f>IRJ1_FR!J40</f>
        <v>20.8</v>
      </c>
      <c r="K40" s="119">
        <f>IRJ1_FR!K40</f>
        <v>14.8</v>
      </c>
      <c r="L40" s="117">
        <f>IRJ1_FR!L40</f>
        <v>0</v>
      </c>
      <c r="M40" s="119">
        <f>IRJ1_FR!M40</f>
        <v>0</v>
      </c>
      <c r="N40" s="117">
        <f>IRJ1_FR!N40</f>
        <v>0</v>
      </c>
      <c r="O40" s="119">
        <f>IRJ1_FR!O40</f>
        <v>0</v>
      </c>
      <c r="P40" s="117">
        <f>IRJ1_FR!P40</f>
        <v>0</v>
      </c>
      <c r="Q40" s="119">
        <f>IRJ1_FR!Q40</f>
        <v>0</v>
      </c>
      <c r="R40" s="117">
        <f>IRJ1_FR!R40</f>
        <v>2.9000000000000004</v>
      </c>
      <c r="S40" s="119">
        <f>IRJ1_FR!S40</f>
        <v>2.9000000000000004</v>
      </c>
      <c r="T40" s="117">
        <f>IRJ1_FR!T40</f>
        <v>11</v>
      </c>
      <c r="U40" s="119">
        <f>IRJ1_FR!U40</f>
        <v>11.8</v>
      </c>
      <c r="V40" s="117">
        <f>IRJ1_FR!V40</f>
        <v>0</v>
      </c>
      <c r="W40" s="119">
        <f>IRJ1_FR!W40</f>
        <v>0</v>
      </c>
      <c r="X40" s="117">
        <f>IRJ1_FR!X40</f>
        <v>0</v>
      </c>
      <c r="Y40" s="119">
        <f>IRJ1_FR!Y40</f>
        <v>0</v>
      </c>
      <c r="Z40" s="117">
        <f>IRJ1_FR!Z40</f>
        <v>0</v>
      </c>
      <c r="AA40" s="119">
        <f>IRJ1_FR!AA40</f>
        <v>0</v>
      </c>
    </row>
    <row r="41" spans="1:27" s="104" customFormat="1" ht="12.75" customHeight="1">
      <c r="A41" s="109"/>
      <c r="B41" s="131"/>
      <c r="C41" s="132"/>
      <c r="D41" s="122"/>
      <c r="E41" s="123"/>
      <c r="F41" s="122"/>
      <c r="G41" s="123"/>
      <c r="H41" s="123"/>
      <c r="I41" s="122"/>
      <c r="J41" s="122"/>
      <c r="K41" s="123"/>
      <c r="L41" s="122"/>
      <c r="M41" s="123"/>
      <c r="N41" s="122"/>
      <c r="O41" s="123"/>
      <c r="P41" s="122"/>
      <c r="Q41" s="123"/>
      <c r="R41" s="122"/>
      <c r="S41" s="123"/>
      <c r="T41" s="122"/>
      <c r="U41" s="123"/>
      <c r="V41" s="122"/>
      <c r="W41" s="123"/>
      <c r="X41" s="122"/>
      <c r="Y41" s="123"/>
      <c r="Z41" s="122"/>
      <c r="AA41" s="133"/>
    </row>
    <row r="42" spans="1:27" s="104" customFormat="1" ht="15.75">
      <c r="A42" s="113" t="s">
        <v>105</v>
      </c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30"/>
    </row>
    <row r="43" spans="1:27" s="104" customFormat="1" ht="12.75" customHeight="1">
      <c r="A43" s="109"/>
      <c r="B43" s="131"/>
      <c r="C43" s="132"/>
      <c r="D43" s="124"/>
      <c r="E43" s="123"/>
      <c r="F43" s="122"/>
      <c r="G43" s="123"/>
      <c r="H43" s="123"/>
      <c r="I43" s="122"/>
      <c r="J43" s="122"/>
      <c r="K43" s="123"/>
      <c r="L43" s="122"/>
      <c r="M43" s="123"/>
      <c r="N43" s="122"/>
      <c r="O43" s="123"/>
      <c r="P43" s="122"/>
      <c r="Q43" s="123"/>
      <c r="R43" s="122"/>
      <c r="S43" s="123"/>
      <c r="T43" s="122"/>
      <c r="U43" s="123"/>
      <c r="V43" s="122"/>
      <c r="W43" s="123"/>
      <c r="X43" s="122"/>
      <c r="Y43" s="123"/>
      <c r="Z43" s="122"/>
      <c r="AA43" s="133"/>
    </row>
    <row r="44" spans="1:27" s="104" customFormat="1" ht="12.75" customHeight="1">
      <c r="A44" s="116" t="s">
        <v>113</v>
      </c>
      <c r="B44" s="117">
        <f>IRJ1_FR!B44</f>
        <v>17.5</v>
      </c>
      <c r="C44" s="117">
        <f>IRJ1_FR!C44</f>
        <v>17.2</v>
      </c>
      <c r="D44" s="118">
        <f>IRJ1_FR!D44</f>
        <v>8.1999999999999886</v>
      </c>
      <c r="E44" s="119">
        <f>IRJ1_FR!E44</f>
        <v>4</v>
      </c>
      <c r="F44" s="117">
        <f>IRJ1_FR!F44</f>
        <v>1.8999999999999915</v>
      </c>
      <c r="G44" s="119">
        <f>IRJ1_FR!G44</f>
        <v>0</v>
      </c>
      <c r="H44" s="117">
        <f>IRJ1_FR!H44</f>
        <v>88.8</v>
      </c>
      <c r="I44" s="119">
        <f>IRJ1_FR!I44</f>
        <v>88.8</v>
      </c>
      <c r="J44" s="117">
        <f>IRJ1_FR!J44</f>
        <v>20.799999999999997</v>
      </c>
      <c r="K44" s="119">
        <f>IRJ1_FR!K44</f>
        <v>0</v>
      </c>
      <c r="L44" s="117">
        <f>IRJ1_FR!L44</f>
        <v>0</v>
      </c>
      <c r="M44" s="119">
        <f>IRJ1_FR!M44</f>
        <v>4.7999999999999972</v>
      </c>
      <c r="N44" s="117">
        <f>IRJ1_FR!N44</f>
        <v>0</v>
      </c>
      <c r="O44" s="119">
        <f>IRJ1_FR!O44</f>
        <v>9.5999999999999943</v>
      </c>
      <c r="P44" s="117">
        <f>IRJ1_FR!P44</f>
        <v>57</v>
      </c>
      <c r="Q44" s="119">
        <f>IRJ1_FR!Q44</f>
        <v>45.699999999999996</v>
      </c>
      <c r="R44" s="117">
        <f>IRJ1_FR!R44</f>
        <v>9</v>
      </c>
      <c r="S44" s="119">
        <f>IRJ1_FR!S44</f>
        <v>9</v>
      </c>
      <c r="T44" s="117">
        <f>IRJ1_FR!T44</f>
        <v>0</v>
      </c>
      <c r="U44" s="119">
        <f>IRJ1_FR!U44</f>
        <v>0</v>
      </c>
      <c r="V44" s="117">
        <f>IRJ1_FR!V44</f>
        <v>0</v>
      </c>
      <c r="W44" s="119">
        <f>IRJ1_FR!W44</f>
        <v>0</v>
      </c>
      <c r="X44" s="117">
        <f>IRJ1_FR!X44</f>
        <v>36</v>
      </c>
      <c r="Y44" s="119">
        <f>IRJ1_FR!Y44</f>
        <v>37.4</v>
      </c>
      <c r="Z44" s="117">
        <f>IRJ1_FR!Z44</f>
        <v>0</v>
      </c>
      <c r="AA44" s="119">
        <f>IRJ1_FR!AA44</f>
        <v>0</v>
      </c>
    </row>
    <row r="45" spans="1:27" s="104" customFormat="1" ht="12.75" customHeight="1">
      <c r="A45" s="116" t="s">
        <v>114</v>
      </c>
      <c r="B45" s="117">
        <f>IRJ1_FR!B45</f>
        <v>49.5</v>
      </c>
      <c r="C45" s="117">
        <f>IRJ1_FR!C45</f>
        <v>48.5</v>
      </c>
      <c r="D45" s="118">
        <f>IRJ1_FR!D45</f>
        <v>77.2</v>
      </c>
      <c r="E45" s="119">
        <f>IRJ1_FR!E45</f>
        <v>68.100000000000009</v>
      </c>
      <c r="F45" s="117">
        <f>IRJ1_FR!F45</f>
        <v>98.100000000000009</v>
      </c>
      <c r="G45" s="119">
        <f>IRJ1_FR!G45</f>
        <v>98.100000000000009</v>
      </c>
      <c r="H45" s="117">
        <f>IRJ1_FR!H45</f>
        <v>11.200000000000001</v>
      </c>
      <c r="I45" s="119">
        <f>IRJ1_FR!I45</f>
        <v>11.200000000000001</v>
      </c>
      <c r="J45" s="117">
        <f>IRJ1_FR!J45</f>
        <v>79.2</v>
      </c>
      <c r="K45" s="119">
        <f>IRJ1_FR!K45</f>
        <v>40.5</v>
      </c>
      <c r="L45" s="117">
        <f>IRJ1_FR!L45</f>
        <v>100</v>
      </c>
      <c r="M45" s="119">
        <f>IRJ1_FR!M45</f>
        <v>95.2</v>
      </c>
      <c r="N45" s="117">
        <f>IRJ1_FR!N45</f>
        <v>90.300000000000011</v>
      </c>
      <c r="O45" s="119">
        <f>IRJ1_FR!O45</f>
        <v>90.4</v>
      </c>
      <c r="P45" s="117">
        <f>IRJ1_FR!P45</f>
        <v>40</v>
      </c>
      <c r="Q45" s="119">
        <f>IRJ1_FR!Q45</f>
        <v>51.300000000000004</v>
      </c>
      <c r="R45" s="117">
        <f>IRJ1_FR!R45</f>
        <v>2.3000000000000003</v>
      </c>
      <c r="S45" s="119">
        <f>IRJ1_FR!S45</f>
        <v>2.3000000000000003</v>
      </c>
      <c r="T45" s="117">
        <f>IRJ1_FR!T45</f>
        <v>69.5</v>
      </c>
      <c r="U45" s="119">
        <f>IRJ1_FR!U45</f>
        <v>70.8</v>
      </c>
      <c r="V45" s="117">
        <f>IRJ1_FR!V45</f>
        <v>100</v>
      </c>
      <c r="W45" s="119">
        <f>IRJ1_FR!W45</f>
        <v>91.300000000000011</v>
      </c>
      <c r="X45" s="117">
        <f>IRJ1_FR!X45</f>
        <v>18.7</v>
      </c>
      <c r="Y45" s="119">
        <f>IRJ1_FR!Y45</f>
        <v>15</v>
      </c>
      <c r="Z45" s="117">
        <f>IRJ1_FR!Z45</f>
        <v>66.2</v>
      </c>
      <c r="AA45" s="119">
        <f>IRJ1_FR!AA45</f>
        <v>83.100000000000009</v>
      </c>
    </row>
    <row r="46" spans="1:27" s="104" customFormat="1" ht="12.75" customHeight="1">
      <c r="A46" s="116" t="s">
        <v>115</v>
      </c>
      <c r="B46" s="117">
        <f>IRJ1_FR!B46</f>
        <v>33.1</v>
      </c>
      <c r="C46" s="117">
        <f>IRJ1_FR!C46</f>
        <v>34.300000000000004</v>
      </c>
      <c r="D46" s="118">
        <f>IRJ1_FR!D46</f>
        <v>14.600000000000001</v>
      </c>
      <c r="E46" s="119">
        <f>IRJ1_FR!E46</f>
        <v>27.900000000000002</v>
      </c>
      <c r="F46" s="117">
        <f>IRJ1_FR!F46</f>
        <v>0</v>
      </c>
      <c r="G46" s="119">
        <f>IRJ1_FR!G46</f>
        <v>1.9000000000000001</v>
      </c>
      <c r="H46" s="117">
        <f>IRJ1_FR!H46</f>
        <v>0</v>
      </c>
      <c r="I46" s="119">
        <f>IRJ1_FR!I46</f>
        <v>0</v>
      </c>
      <c r="J46" s="117">
        <f>IRJ1_FR!J46</f>
        <v>0</v>
      </c>
      <c r="K46" s="119">
        <f>IRJ1_FR!K46</f>
        <v>59.5</v>
      </c>
      <c r="L46" s="117">
        <f>IRJ1_FR!L46</f>
        <v>0</v>
      </c>
      <c r="M46" s="119">
        <f>IRJ1_FR!M46</f>
        <v>0</v>
      </c>
      <c r="N46" s="117">
        <f>IRJ1_FR!N46</f>
        <v>9.7000000000000011</v>
      </c>
      <c r="O46" s="119">
        <f>IRJ1_FR!O46</f>
        <v>0</v>
      </c>
      <c r="P46" s="117">
        <f>IRJ1_FR!P46</f>
        <v>3</v>
      </c>
      <c r="Q46" s="119">
        <f>IRJ1_FR!Q46</f>
        <v>3</v>
      </c>
      <c r="R46" s="117">
        <f>IRJ1_FR!R46</f>
        <v>88.7</v>
      </c>
      <c r="S46" s="119">
        <f>IRJ1_FR!S46</f>
        <v>88.7</v>
      </c>
      <c r="T46" s="117">
        <f>IRJ1_FR!T46</f>
        <v>30.5</v>
      </c>
      <c r="U46" s="119">
        <f>IRJ1_FR!U46</f>
        <v>29.200000000000003</v>
      </c>
      <c r="V46" s="117">
        <f>IRJ1_FR!V46</f>
        <v>0</v>
      </c>
      <c r="W46" s="119">
        <f>IRJ1_FR!W46</f>
        <v>8.7000000000000011</v>
      </c>
      <c r="X46" s="117">
        <f>IRJ1_FR!X46</f>
        <v>45.300000000000004</v>
      </c>
      <c r="Y46" s="119">
        <f>IRJ1_FR!Y46</f>
        <v>47.6</v>
      </c>
      <c r="Z46" s="117">
        <f>IRJ1_FR!Z46</f>
        <v>33.800000000000004</v>
      </c>
      <c r="AA46" s="119">
        <f>IRJ1_FR!AA46</f>
        <v>16.900000000000002</v>
      </c>
    </row>
    <row r="47" spans="1:27" s="104" customFormat="1" ht="12.75" customHeight="1">
      <c r="A47" s="109"/>
      <c r="B47" s="131"/>
      <c r="C47" s="132"/>
      <c r="D47" s="122"/>
      <c r="E47" s="123"/>
      <c r="F47" s="122"/>
      <c r="G47" s="123"/>
      <c r="H47" s="123"/>
      <c r="I47" s="122"/>
      <c r="J47" s="122"/>
      <c r="K47" s="123"/>
      <c r="L47" s="122"/>
      <c r="M47" s="123"/>
      <c r="N47" s="122"/>
      <c r="O47" s="123"/>
      <c r="P47" s="122"/>
      <c r="Q47" s="123"/>
      <c r="R47" s="122"/>
      <c r="S47" s="123"/>
      <c r="T47" s="122"/>
      <c r="U47" s="123"/>
      <c r="V47" s="122"/>
      <c r="W47" s="123"/>
      <c r="X47" s="122"/>
      <c r="Y47" s="123"/>
      <c r="Z47" s="122"/>
      <c r="AA47" s="133"/>
    </row>
    <row r="48" spans="1:27" s="104" customFormat="1" ht="15.75">
      <c r="A48" s="59" t="s">
        <v>170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185"/>
    </row>
    <row r="49" spans="1:27" s="104" customFormat="1" ht="12.75" customHeight="1">
      <c r="A49" s="109"/>
      <c r="B49" s="131"/>
      <c r="C49" s="132"/>
      <c r="D49" s="124"/>
      <c r="E49" s="123"/>
      <c r="F49" s="122"/>
      <c r="G49" s="123"/>
      <c r="H49" s="123"/>
      <c r="I49" s="122"/>
      <c r="J49" s="122"/>
      <c r="K49" s="123"/>
      <c r="L49" s="122"/>
      <c r="M49" s="123"/>
      <c r="N49" s="122"/>
      <c r="O49" s="123"/>
      <c r="P49" s="122"/>
      <c r="Q49" s="123"/>
      <c r="R49" s="122"/>
      <c r="S49" s="123"/>
      <c r="T49" s="122"/>
      <c r="U49" s="123"/>
      <c r="V49" s="122"/>
      <c r="W49" s="123"/>
      <c r="X49" s="122"/>
      <c r="Y49" s="123"/>
      <c r="Z49" s="122"/>
      <c r="AA49" s="133"/>
    </row>
    <row r="50" spans="1:27" s="104" customFormat="1" ht="12.75" customHeight="1">
      <c r="A50" s="30" t="s">
        <v>171</v>
      </c>
      <c r="B50" s="117">
        <f>IRJ1_FR!B50</f>
        <v>1</v>
      </c>
      <c r="C50" s="117">
        <f>IRJ1_FR!C50</f>
        <v>1</v>
      </c>
      <c r="D50" s="118">
        <f>IRJ1_FR!D50</f>
        <v>0</v>
      </c>
      <c r="E50" s="119">
        <f>IRJ1_FR!E50</f>
        <v>0</v>
      </c>
      <c r="F50" s="117">
        <f>IRJ1_FR!F50</f>
        <v>0</v>
      </c>
      <c r="G50" s="119">
        <f>IRJ1_FR!G50</f>
        <v>0</v>
      </c>
      <c r="H50" s="117">
        <f>IRJ1_FR!H50</f>
        <v>0</v>
      </c>
      <c r="I50" s="119">
        <f>IRJ1_FR!I50</f>
        <v>0</v>
      </c>
      <c r="J50" s="117">
        <f>IRJ1_FR!J50</f>
        <v>0</v>
      </c>
      <c r="K50" s="119">
        <f>IRJ1_FR!K50</f>
        <v>0</v>
      </c>
      <c r="L50" s="117">
        <f>IRJ1_FR!L50</f>
        <v>0</v>
      </c>
      <c r="M50" s="119">
        <f>IRJ1_FR!M50</f>
        <v>0</v>
      </c>
      <c r="N50" s="117">
        <f>IRJ1_FR!N50</f>
        <v>-0.10000000000000853</v>
      </c>
      <c r="O50" s="119">
        <f>IRJ1_FR!O50</f>
        <v>9.9999999999994316E-2</v>
      </c>
      <c r="P50" s="117">
        <f>IRJ1_FR!P50</f>
        <v>13.799999999999997</v>
      </c>
      <c r="Q50" s="119">
        <f>IRJ1_FR!Q50</f>
        <v>13.799999999999997</v>
      </c>
      <c r="R50" s="117">
        <f>IRJ1_FR!R50</f>
        <v>0</v>
      </c>
      <c r="S50" s="119">
        <f>IRJ1_FR!S50</f>
        <v>0</v>
      </c>
      <c r="T50" s="117">
        <f>IRJ1_FR!T50</f>
        <v>0</v>
      </c>
      <c r="U50" s="119">
        <f>IRJ1_FR!U50</f>
        <v>0</v>
      </c>
      <c r="V50" s="117">
        <f>IRJ1_FR!V50</f>
        <v>5.0999999999999943</v>
      </c>
      <c r="W50" s="119">
        <f>IRJ1_FR!W50</f>
        <v>5.0999999999999943</v>
      </c>
      <c r="X50" s="117">
        <f>IRJ1_FR!X50</f>
        <v>-0.10000000000000853</v>
      </c>
      <c r="Y50" s="119">
        <f>IRJ1_FR!Y50</f>
        <v>0</v>
      </c>
      <c r="Z50" s="117">
        <f>IRJ1_FR!Z50</f>
        <v>0</v>
      </c>
      <c r="AA50" s="119">
        <f>IRJ1_FR!AA50</f>
        <v>0</v>
      </c>
    </row>
    <row r="51" spans="1:27" s="104" customFormat="1" ht="12.75" customHeight="1">
      <c r="A51" s="30" t="s">
        <v>172</v>
      </c>
      <c r="B51" s="117">
        <f>IRJ1_FR!B51</f>
        <v>48.5</v>
      </c>
      <c r="C51" s="117">
        <f>IRJ1_FR!C51</f>
        <v>40.900000000000006</v>
      </c>
      <c r="D51" s="118">
        <f>IRJ1_FR!D51</f>
        <v>35.4</v>
      </c>
      <c r="E51" s="119">
        <f>IRJ1_FR!E51</f>
        <v>31.5</v>
      </c>
      <c r="F51" s="117">
        <f>IRJ1_FR!F51</f>
        <v>98.100000000000009</v>
      </c>
      <c r="G51" s="119">
        <f>IRJ1_FR!G51</f>
        <v>0</v>
      </c>
      <c r="H51" s="117">
        <f>IRJ1_FR!H51</f>
        <v>5.1000000000000005</v>
      </c>
      <c r="I51" s="119">
        <f>IRJ1_FR!I51</f>
        <v>5.1000000000000005</v>
      </c>
      <c r="J51" s="117">
        <f>IRJ1_FR!J51</f>
        <v>55</v>
      </c>
      <c r="K51" s="119">
        <f>IRJ1_FR!K51</f>
        <v>55</v>
      </c>
      <c r="L51" s="117">
        <f>IRJ1_FR!L51</f>
        <v>56.6</v>
      </c>
      <c r="M51" s="119">
        <f>IRJ1_FR!M51</f>
        <v>29.3</v>
      </c>
      <c r="N51" s="117">
        <f>IRJ1_FR!N51</f>
        <v>35</v>
      </c>
      <c r="O51" s="119">
        <f>IRJ1_FR!O51</f>
        <v>31.6</v>
      </c>
      <c r="P51" s="117">
        <f>IRJ1_FR!P51</f>
        <v>18.8</v>
      </c>
      <c r="Q51" s="119">
        <f>IRJ1_FR!Q51</f>
        <v>18.8</v>
      </c>
      <c r="R51" s="117">
        <f>IRJ1_FR!R51</f>
        <v>80.900000000000006</v>
      </c>
      <c r="S51" s="119">
        <f>IRJ1_FR!S51</f>
        <v>83.100000000000009</v>
      </c>
      <c r="T51" s="117">
        <f>IRJ1_FR!T51</f>
        <v>35.6</v>
      </c>
      <c r="U51" s="119">
        <f>IRJ1_FR!U51</f>
        <v>46.900000000000006</v>
      </c>
      <c r="V51" s="117">
        <f>IRJ1_FR!V51</f>
        <v>3.9000000000000004</v>
      </c>
      <c r="W51" s="119">
        <f>IRJ1_FR!W51</f>
        <v>3.9000000000000004</v>
      </c>
      <c r="X51" s="117">
        <f>IRJ1_FR!X51</f>
        <v>36</v>
      </c>
      <c r="Y51" s="119">
        <f>IRJ1_FR!Y51</f>
        <v>37</v>
      </c>
      <c r="Z51" s="117">
        <f>IRJ1_FR!Z51</f>
        <v>30.700000000000003</v>
      </c>
      <c r="AA51" s="119">
        <f>IRJ1_FR!AA51</f>
        <v>62.2</v>
      </c>
    </row>
    <row r="52" spans="1:27" s="104" customFormat="1" ht="12.75" customHeight="1">
      <c r="A52" s="30" t="s">
        <v>173</v>
      </c>
      <c r="B52" s="117">
        <f>IRJ1_FR!B52</f>
        <v>36.700000000000003</v>
      </c>
      <c r="C52" s="117">
        <f>IRJ1_FR!C52</f>
        <v>45.400000000000006</v>
      </c>
      <c r="D52" s="118">
        <f>IRJ1_FR!D52</f>
        <v>49</v>
      </c>
      <c r="E52" s="119">
        <f>IRJ1_FR!E52</f>
        <v>55.7</v>
      </c>
      <c r="F52" s="117">
        <f>IRJ1_FR!F52</f>
        <v>0</v>
      </c>
      <c r="G52" s="119">
        <f>IRJ1_FR!G52</f>
        <v>98.100000000000009</v>
      </c>
      <c r="H52" s="117">
        <f>IRJ1_FR!H52</f>
        <v>90.600000000000009</v>
      </c>
      <c r="I52" s="119">
        <f>IRJ1_FR!I52</f>
        <v>90.600000000000009</v>
      </c>
      <c r="J52" s="117">
        <f>IRJ1_FR!J52</f>
        <v>40.5</v>
      </c>
      <c r="K52" s="119">
        <f>IRJ1_FR!K52</f>
        <v>40.5</v>
      </c>
      <c r="L52" s="117">
        <f>IRJ1_FR!L52</f>
        <v>43.400000000000006</v>
      </c>
      <c r="M52" s="119">
        <f>IRJ1_FR!M52</f>
        <v>70.7</v>
      </c>
      <c r="N52" s="117">
        <f>IRJ1_FR!N52</f>
        <v>43.400000000000006</v>
      </c>
      <c r="O52" s="119">
        <f>IRJ1_FR!O52</f>
        <v>55.5</v>
      </c>
      <c r="P52" s="117">
        <f>IRJ1_FR!P52</f>
        <v>16.3</v>
      </c>
      <c r="Q52" s="119">
        <f>IRJ1_FR!Q52</f>
        <v>16.3</v>
      </c>
      <c r="R52" s="117">
        <f>IRJ1_FR!R52</f>
        <v>11.8</v>
      </c>
      <c r="S52" s="119">
        <f>IRJ1_FR!S52</f>
        <v>11.8</v>
      </c>
      <c r="T52" s="117">
        <f>IRJ1_FR!T52</f>
        <v>46.300000000000004</v>
      </c>
      <c r="U52" s="119">
        <f>IRJ1_FR!U52</f>
        <v>30.700000000000003</v>
      </c>
      <c r="V52" s="117">
        <f>IRJ1_FR!V52</f>
        <v>72.100000000000009</v>
      </c>
      <c r="W52" s="119">
        <f>IRJ1_FR!W52</f>
        <v>72.100000000000009</v>
      </c>
      <c r="X52" s="117">
        <f>IRJ1_FR!X52</f>
        <v>49.300000000000004</v>
      </c>
      <c r="Y52" s="119">
        <f>IRJ1_FR!Y52</f>
        <v>49.800000000000004</v>
      </c>
      <c r="Z52" s="117">
        <f>IRJ1_FR!Z52</f>
        <v>62.6</v>
      </c>
      <c r="AA52" s="119">
        <f>IRJ1_FR!AA52</f>
        <v>20.900000000000002</v>
      </c>
    </row>
    <row r="53" spans="1:27" s="104" customFormat="1" ht="12.75" customHeight="1">
      <c r="A53" s="30" t="s">
        <v>174</v>
      </c>
      <c r="B53" s="117">
        <f>IRJ1_FR!B53</f>
        <v>13.8</v>
      </c>
      <c r="C53" s="117">
        <f>IRJ1_FR!C53</f>
        <v>12.700000000000001</v>
      </c>
      <c r="D53" s="118">
        <f>IRJ1_FR!D53</f>
        <v>15.600000000000001</v>
      </c>
      <c r="E53" s="119">
        <f>IRJ1_FR!E53</f>
        <v>12.8</v>
      </c>
      <c r="F53" s="117">
        <f>IRJ1_FR!F53</f>
        <v>1.9000000000000001</v>
      </c>
      <c r="G53" s="119">
        <f>IRJ1_FR!G53</f>
        <v>1.9000000000000001</v>
      </c>
      <c r="H53" s="117">
        <f>IRJ1_FR!H53</f>
        <v>4.3</v>
      </c>
      <c r="I53" s="119">
        <f>IRJ1_FR!I53</f>
        <v>4.3</v>
      </c>
      <c r="J53" s="117">
        <f>IRJ1_FR!J53</f>
        <v>4.5</v>
      </c>
      <c r="K53" s="119">
        <f>IRJ1_FR!K53</f>
        <v>4.5</v>
      </c>
      <c r="L53" s="117">
        <f>IRJ1_FR!L53</f>
        <v>0</v>
      </c>
      <c r="M53" s="119">
        <f>IRJ1_FR!M53</f>
        <v>0</v>
      </c>
      <c r="N53" s="117">
        <f>IRJ1_FR!N53</f>
        <v>21.700000000000003</v>
      </c>
      <c r="O53" s="119">
        <f>IRJ1_FR!O53</f>
        <v>12.8</v>
      </c>
      <c r="P53" s="117">
        <f>IRJ1_FR!P53</f>
        <v>51.1</v>
      </c>
      <c r="Q53" s="119">
        <f>IRJ1_FR!Q53</f>
        <v>51.1</v>
      </c>
      <c r="R53" s="117">
        <f>IRJ1_FR!R53</f>
        <v>7.3000000000000007</v>
      </c>
      <c r="S53" s="119">
        <f>IRJ1_FR!S53</f>
        <v>5.1000000000000005</v>
      </c>
      <c r="T53" s="117">
        <f>IRJ1_FR!T53</f>
        <v>18.100000000000001</v>
      </c>
      <c r="U53" s="119">
        <f>IRJ1_FR!U53</f>
        <v>22.400000000000002</v>
      </c>
      <c r="V53" s="117">
        <f>IRJ1_FR!V53</f>
        <v>18.900000000000002</v>
      </c>
      <c r="W53" s="119">
        <f>IRJ1_FR!W53</f>
        <v>18.900000000000002</v>
      </c>
      <c r="X53" s="117">
        <f>IRJ1_FR!X53</f>
        <v>14.8</v>
      </c>
      <c r="Y53" s="119">
        <f>IRJ1_FR!Y53</f>
        <v>13.200000000000001</v>
      </c>
      <c r="Z53" s="117">
        <f>IRJ1_FR!Z53</f>
        <v>6.7</v>
      </c>
      <c r="AA53" s="119">
        <f>IRJ1_FR!AA53</f>
        <v>16.900000000000002</v>
      </c>
    </row>
    <row r="54" spans="1:27" s="104" customFormat="1" ht="12.75" customHeight="1">
      <c r="A54" s="109"/>
      <c r="B54" s="131"/>
      <c r="C54" s="132"/>
      <c r="D54" s="122"/>
      <c r="E54" s="123"/>
      <c r="F54" s="122"/>
      <c r="G54" s="123"/>
      <c r="H54" s="123"/>
      <c r="I54" s="122"/>
      <c r="J54" s="122"/>
      <c r="K54" s="123"/>
      <c r="L54" s="122"/>
      <c r="M54" s="123"/>
      <c r="N54" s="122"/>
      <c r="O54" s="123"/>
      <c r="P54" s="122"/>
      <c r="Q54" s="123"/>
      <c r="R54" s="122"/>
      <c r="S54" s="123"/>
      <c r="T54" s="122"/>
      <c r="U54" s="123"/>
      <c r="V54" s="122"/>
      <c r="W54" s="123"/>
      <c r="X54" s="122"/>
      <c r="Y54" s="123"/>
      <c r="Z54" s="122"/>
      <c r="AA54" s="133"/>
    </row>
    <row r="55" spans="1:27" s="104" customFormat="1" ht="15.75">
      <c r="A55" s="113" t="s">
        <v>106</v>
      </c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30"/>
    </row>
    <row r="56" spans="1:27" s="104" customFormat="1" ht="12.75" customHeight="1">
      <c r="A56" s="109"/>
      <c r="B56" s="131"/>
      <c r="C56" s="132"/>
      <c r="D56" s="124"/>
      <c r="E56" s="123"/>
      <c r="F56" s="122"/>
      <c r="G56" s="123"/>
      <c r="H56" s="123"/>
      <c r="I56" s="122"/>
      <c r="J56" s="122"/>
      <c r="K56" s="123"/>
      <c r="L56" s="122"/>
      <c r="M56" s="123"/>
      <c r="N56" s="122"/>
      <c r="O56" s="123"/>
      <c r="P56" s="122"/>
      <c r="Q56" s="123"/>
      <c r="R56" s="122"/>
      <c r="S56" s="123"/>
      <c r="T56" s="122"/>
      <c r="U56" s="123"/>
      <c r="V56" s="122"/>
      <c r="W56" s="123"/>
      <c r="X56" s="122"/>
      <c r="Y56" s="123"/>
      <c r="Z56" s="122"/>
      <c r="AA56" s="133"/>
    </row>
    <row r="57" spans="1:27" s="104" customFormat="1" ht="12.75" customHeight="1">
      <c r="A57" s="116" t="s">
        <v>113</v>
      </c>
      <c r="B57" s="117">
        <f>IRJ1_FR!B57</f>
        <v>17.600000000000001</v>
      </c>
      <c r="C57" s="117">
        <f>IRJ1_FR!C57</f>
        <v>16.100000000000001</v>
      </c>
      <c r="D57" s="118">
        <f>IRJ1_FR!D57</f>
        <v>27.399999999999991</v>
      </c>
      <c r="E57" s="119">
        <f>IRJ1_FR!E57</f>
        <v>20.099999999999994</v>
      </c>
      <c r="F57" s="117">
        <f>IRJ1_FR!F57</f>
        <v>0</v>
      </c>
      <c r="G57" s="119">
        <f>IRJ1_FR!G57</f>
        <v>0</v>
      </c>
      <c r="H57" s="117">
        <f>IRJ1_FR!H57</f>
        <v>85.2</v>
      </c>
      <c r="I57" s="119">
        <f>IRJ1_FR!I57</f>
        <v>85.2</v>
      </c>
      <c r="J57" s="117">
        <f>IRJ1_FR!J57</f>
        <v>19.699999999999989</v>
      </c>
      <c r="K57" s="119">
        <f>IRJ1_FR!K57</f>
        <v>0</v>
      </c>
      <c r="L57" s="117">
        <f>IRJ1_FR!L57</f>
        <v>36.799999999999997</v>
      </c>
      <c r="M57" s="119">
        <f>IRJ1_FR!M57</f>
        <v>22.899999999999991</v>
      </c>
      <c r="N57" s="117">
        <f>IRJ1_FR!N57</f>
        <v>0</v>
      </c>
      <c r="O57" s="119">
        <f>IRJ1_FR!O57</f>
        <v>0</v>
      </c>
      <c r="P57" s="117">
        <f>IRJ1_FR!P57</f>
        <v>16.299999999999997</v>
      </c>
      <c r="Q57" s="119">
        <f>IRJ1_FR!Q57</f>
        <v>0</v>
      </c>
      <c r="R57" s="117">
        <f>IRJ1_FR!R57</f>
        <v>0</v>
      </c>
      <c r="S57" s="119">
        <f>IRJ1_FR!S57</f>
        <v>0</v>
      </c>
      <c r="T57" s="117">
        <f>IRJ1_FR!T57</f>
        <v>0</v>
      </c>
      <c r="U57" s="119">
        <f>IRJ1_FR!U57</f>
        <v>0</v>
      </c>
      <c r="V57" s="117">
        <f>IRJ1_FR!V57</f>
        <v>5.1999999999999886</v>
      </c>
      <c r="W57" s="119">
        <f>IRJ1_FR!W57</f>
        <v>0</v>
      </c>
      <c r="X57" s="117">
        <f>IRJ1_FR!X57</f>
        <v>43.699999999999996</v>
      </c>
      <c r="Y57" s="119">
        <f>IRJ1_FR!Y57</f>
        <v>42.699999999999996</v>
      </c>
      <c r="Z57" s="117">
        <f>IRJ1_FR!Z57</f>
        <v>16.599999999999994</v>
      </c>
      <c r="AA57" s="119">
        <f>IRJ1_FR!AA57</f>
        <v>42.4</v>
      </c>
    </row>
    <row r="58" spans="1:27" s="104" customFormat="1" ht="12.75" customHeight="1">
      <c r="A58" s="116" t="s">
        <v>114</v>
      </c>
      <c r="B58" s="117">
        <f>IRJ1_FR!B58</f>
        <v>77.300000000000011</v>
      </c>
      <c r="C58" s="117">
        <f>IRJ1_FR!C58</f>
        <v>58.1</v>
      </c>
      <c r="D58" s="118">
        <f>IRJ1_FR!D58</f>
        <v>72.600000000000009</v>
      </c>
      <c r="E58" s="119">
        <f>IRJ1_FR!E58</f>
        <v>79.900000000000006</v>
      </c>
      <c r="F58" s="117">
        <f>IRJ1_FR!F58</f>
        <v>100</v>
      </c>
      <c r="G58" s="119">
        <f>IRJ1_FR!G58</f>
        <v>100</v>
      </c>
      <c r="H58" s="117">
        <f>IRJ1_FR!H58</f>
        <v>14.8</v>
      </c>
      <c r="I58" s="119">
        <f>IRJ1_FR!I58</f>
        <v>14.8</v>
      </c>
      <c r="J58" s="117">
        <f>IRJ1_FR!J58</f>
        <v>80.300000000000011</v>
      </c>
      <c r="K58" s="119">
        <f>IRJ1_FR!K58</f>
        <v>45</v>
      </c>
      <c r="L58" s="117">
        <f>IRJ1_FR!L58</f>
        <v>63.2</v>
      </c>
      <c r="M58" s="119">
        <f>IRJ1_FR!M58</f>
        <v>77.100000000000009</v>
      </c>
      <c r="N58" s="117">
        <f>IRJ1_FR!N58</f>
        <v>100</v>
      </c>
      <c r="O58" s="119">
        <f>IRJ1_FR!O58</f>
        <v>100</v>
      </c>
      <c r="P58" s="117">
        <f>IRJ1_FR!P58</f>
        <v>83.7</v>
      </c>
      <c r="Q58" s="119">
        <f>IRJ1_FR!Q58</f>
        <v>100</v>
      </c>
      <c r="R58" s="117">
        <f>IRJ1_FR!R58</f>
        <v>97.800000000000011</v>
      </c>
      <c r="S58" s="119">
        <f>IRJ1_FR!S58</f>
        <v>10.600000000000001</v>
      </c>
      <c r="T58" s="117">
        <f>IRJ1_FR!T58</f>
        <v>88.2</v>
      </c>
      <c r="U58" s="119">
        <f>IRJ1_FR!U58</f>
        <v>91.300000000000011</v>
      </c>
      <c r="V58" s="117">
        <f>IRJ1_FR!V58</f>
        <v>94.800000000000011</v>
      </c>
      <c r="W58" s="119">
        <f>IRJ1_FR!W58</f>
        <v>100</v>
      </c>
      <c r="X58" s="117">
        <f>IRJ1_FR!X58</f>
        <v>32.700000000000003</v>
      </c>
      <c r="Y58" s="119">
        <f>IRJ1_FR!Y58</f>
        <v>33.700000000000003</v>
      </c>
      <c r="Z58" s="117">
        <f>IRJ1_FR!Z58</f>
        <v>83.4</v>
      </c>
      <c r="AA58" s="119">
        <f>IRJ1_FR!AA58</f>
        <v>43.6</v>
      </c>
    </row>
    <row r="59" spans="1:27" s="104" customFormat="1" ht="12.75" customHeight="1">
      <c r="A59" s="116" t="s">
        <v>115</v>
      </c>
      <c r="B59" s="117">
        <f>IRJ1_FR!B59</f>
        <v>5.1000000000000005</v>
      </c>
      <c r="C59" s="117">
        <f>IRJ1_FR!C59</f>
        <v>25.8</v>
      </c>
      <c r="D59" s="118">
        <f>IRJ1_FR!D59</f>
        <v>0</v>
      </c>
      <c r="E59" s="119">
        <f>IRJ1_FR!E59</f>
        <v>0</v>
      </c>
      <c r="F59" s="117">
        <f>IRJ1_FR!F59</f>
        <v>0</v>
      </c>
      <c r="G59" s="119">
        <f>IRJ1_FR!G59</f>
        <v>0</v>
      </c>
      <c r="H59" s="117">
        <f>IRJ1_FR!H59</f>
        <v>0</v>
      </c>
      <c r="I59" s="119">
        <f>IRJ1_FR!I59</f>
        <v>0</v>
      </c>
      <c r="J59" s="117">
        <f>IRJ1_FR!J59</f>
        <v>0</v>
      </c>
      <c r="K59" s="119">
        <f>IRJ1_FR!K59</f>
        <v>55</v>
      </c>
      <c r="L59" s="117">
        <f>IRJ1_FR!L59</f>
        <v>0</v>
      </c>
      <c r="M59" s="119">
        <f>IRJ1_FR!M59</f>
        <v>0</v>
      </c>
      <c r="N59" s="117">
        <f>IRJ1_FR!N59</f>
        <v>0</v>
      </c>
      <c r="O59" s="119">
        <f>IRJ1_FR!O59</f>
        <v>0</v>
      </c>
      <c r="P59" s="117">
        <f>IRJ1_FR!P59</f>
        <v>0</v>
      </c>
      <c r="Q59" s="119">
        <f>IRJ1_FR!Q59</f>
        <v>0</v>
      </c>
      <c r="R59" s="117">
        <f>IRJ1_FR!R59</f>
        <v>2.2000000000000002</v>
      </c>
      <c r="S59" s="119">
        <f>IRJ1_FR!S59</f>
        <v>89.4</v>
      </c>
      <c r="T59" s="117">
        <f>IRJ1_FR!T59</f>
        <v>11.8</v>
      </c>
      <c r="U59" s="119">
        <f>IRJ1_FR!U59</f>
        <v>8.7000000000000011</v>
      </c>
      <c r="V59" s="117">
        <f>IRJ1_FR!V59</f>
        <v>0</v>
      </c>
      <c r="W59" s="119">
        <f>IRJ1_FR!W59</f>
        <v>0</v>
      </c>
      <c r="X59" s="117">
        <f>IRJ1_FR!X59</f>
        <v>23.6</v>
      </c>
      <c r="Y59" s="119">
        <f>IRJ1_FR!Y59</f>
        <v>23.6</v>
      </c>
      <c r="Z59" s="117">
        <f>IRJ1_FR!Z59</f>
        <v>0</v>
      </c>
      <c r="AA59" s="119">
        <f>IRJ1_FR!AA59</f>
        <v>14</v>
      </c>
    </row>
    <row r="60" spans="1:27" s="104" customFormat="1" ht="12.75" customHeight="1">
      <c r="A60" s="135"/>
      <c r="B60" s="136"/>
      <c r="C60" s="136"/>
      <c r="D60" s="137"/>
      <c r="E60" s="138"/>
      <c r="F60" s="138"/>
      <c r="G60" s="138"/>
      <c r="H60" s="138"/>
      <c r="I60" s="105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9"/>
    </row>
    <row r="61" spans="1:27">
      <c r="A61" s="140"/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2"/>
    </row>
    <row r="62" spans="1:27" ht="33" customHeight="1">
      <c r="A62" s="143"/>
      <c r="B62" s="141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</row>
    <row r="63" spans="1:27">
      <c r="A63" s="143"/>
      <c r="B63" s="141"/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</row>
    <row r="64" spans="1:27" ht="15.75">
      <c r="A64" s="143"/>
      <c r="B64" s="141"/>
      <c r="C64" s="141"/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9"/>
    </row>
    <row r="65" spans="1:27" ht="15.75">
      <c r="A65" s="143"/>
      <c r="B65" s="141"/>
      <c r="C65" s="141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9"/>
    </row>
    <row r="66" spans="1:27" ht="15.75">
      <c r="A66" s="143"/>
      <c r="B66" s="141"/>
      <c r="C66" s="141"/>
      <c r="D66" s="14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81" t="str">
        <f>AA1</f>
        <v>Edition of July 22nd, 2025 N°7/2025</v>
      </c>
    </row>
    <row r="67" spans="1:27" ht="15.75">
      <c r="A67" s="143"/>
      <c r="B67" s="141"/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9"/>
    </row>
    <row r="68" spans="1:27" s="144" customFormat="1" ht="27" customHeight="1">
      <c r="A68" s="215" t="s">
        <v>22</v>
      </c>
      <c r="B68" s="215"/>
      <c r="C68" s="215"/>
      <c r="D68" s="215"/>
      <c r="E68" s="215"/>
      <c r="F68" s="215"/>
      <c r="G68" s="215"/>
      <c r="H68" s="215"/>
      <c r="I68" s="215"/>
      <c r="J68" s="215"/>
      <c r="K68" s="215"/>
      <c r="L68" s="215"/>
      <c r="M68" s="215"/>
      <c r="N68" s="215"/>
      <c r="O68" s="215"/>
      <c r="P68" s="215"/>
      <c r="Q68" s="215"/>
      <c r="R68" s="215"/>
      <c r="S68" s="215"/>
      <c r="T68" s="215"/>
      <c r="U68" s="215"/>
      <c r="V68" s="215"/>
      <c r="W68" s="215"/>
      <c r="X68" s="215"/>
      <c r="Y68" s="215"/>
      <c r="Z68" s="215"/>
      <c r="AA68" s="215"/>
    </row>
    <row r="69" spans="1:27" ht="15.75">
      <c r="A69" s="143"/>
      <c r="B69" s="141"/>
      <c r="C69" s="141"/>
      <c r="D69" s="141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81"/>
    </row>
    <row r="70" spans="1:27" ht="25.5" customHeight="1">
      <c r="A70" s="216" t="s">
        <v>84</v>
      </c>
      <c r="B70" s="216"/>
      <c r="C70" s="216"/>
      <c r="D70" s="216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  <c r="R70" s="216"/>
      <c r="S70" s="216"/>
      <c r="T70" s="216"/>
      <c r="U70" s="216"/>
      <c r="V70" s="216"/>
      <c r="W70" s="216"/>
      <c r="X70" s="216"/>
      <c r="Y70" s="216"/>
      <c r="Z70" s="216"/>
      <c r="AA70" s="216"/>
    </row>
    <row r="71" spans="1:27" ht="25.5" customHeight="1">
      <c r="A71" s="231" t="s">
        <v>169</v>
      </c>
      <c r="B71" s="217"/>
      <c r="C71" s="217"/>
      <c r="D71" s="217"/>
      <c r="E71" s="217"/>
      <c r="F71" s="217"/>
      <c r="G71" s="217"/>
      <c r="H71" s="217"/>
      <c r="I71" s="217"/>
      <c r="J71" s="217"/>
      <c r="K71" s="217"/>
      <c r="L71" s="217"/>
      <c r="M71" s="217"/>
      <c r="N71" s="217"/>
      <c r="O71" s="217"/>
      <c r="P71" s="217"/>
      <c r="Q71" s="217"/>
      <c r="R71" s="217"/>
      <c r="S71" s="217"/>
      <c r="T71" s="217"/>
      <c r="U71" s="217"/>
      <c r="V71" s="217"/>
      <c r="W71" s="217"/>
      <c r="X71" s="217"/>
      <c r="Y71" s="217"/>
      <c r="Z71" s="217"/>
      <c r="AA71" s="217"/>
    </row>
    <row r="72" spans="1:27">
      <c r="A72" s="143"/>
      <c r="B72" s="141"/>
      <c r="C72" s="141"/>
      <c r="D72" s="141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  <c r="AA72" s="94" t="s">
        <v>157</v>
      </c>
    </row>
    <row r="73" spans="1:27" s="101" customFormat="1" ht="21">
      <c r="A73" s="218" t="str">
        <f>A9</f>
        <v xml:space="preserve">July 2025 (month t) 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8"/>
      <c r="V73" s="218"/>
      <c r="W73" s="218"/>
      <c r="X73" s="218"/>
      <c r="Y73" s="218"/>
      <c r="Z73" s="218"/>
      <c r="AA73" s="218"/>
    </row>
    <row r="74" spans="1:27" ht="12.75" customHeight="1">
      <c r="A74" s="102"/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</row>
    <row r="75" spans="1:27" ht="15.75">
      <c r="A75" s="221" t="s">
        <v>158</v>
      </c>
      <c r="B75" s="222"/>
      <c r="C75" s="222"/>
      <c r="D75" s="222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</row>
    <row r="76" spans="1:27" ht="6" customHeight="1"/>
    <row r="77" spans="1:27" s="104" customFormat="1" ht="116.25" customHeight="1">
      <c r="A77" s="232" t="s">
        <v>103</v>
      </c>
      <c r="B77" s="219" t="s">
        <v>87</v>
      </c>
      <c r="C77" s="220"/>
      <c r="D77" s="219" t="s">
        <v>88</v>
      </c>
      <c r="E77" s="220"/>
      <c r="F77" s="219" t="s">
        <v>89</v>
      </c>
      <c r="G77" s="220"/>
      <c r="H77" s="219" t="s">
        <v>90</v>
      </c>
      <c r="I77" s="220"/>
      <c r="J77" s="219" t="s">
        <v>91</v>
      </c>
      <c r="K77" s="229"/>
      <c r="L77" s="230" t="s">
        <v>92</v>
      </c>
      <c r="M77" s="220"/>
      <c r="N77" s="219" t="s">
        <v>93</v>
      </c>
      <c r="O77" s="220"/>
      <c r="P77" s="219" t="s">
        <v>94</v>
      </c>
      <c r="Q77" s="220"/>
      <c r="R77" s="219" t="s">
        <v>95</v>
      </c>
      <c r="S77" s="220"/>
      <c r="T77" s="219" t="s">
        <v>96</v>
      </c>
      <c r="U77" s="220"/>
      <c r="V77" s="219" t="s">
        <v>97</v>
      </c>
      <c r="W77" s="220"/>
      <c r="X77" s="219" t="s">
        <v>98</v>
      </c>
      <c r="Y77" s="220"/>
      <c r="Z77" s="219" t="s">
        <v>99</v>
      </c>
      <c r="AA77" s="220"/>
    </row>
    <row r="78" spans="1:27" s="104" customFormat="1" ht="12.75" customHeight="1">
      <c r="A78" s="225"/>
      <c r="B78" s="18"/>
      <c r="C78" s="105"/>
      <c r="D78" s="233" t="s">
        <v>108</v>
      </c>
      <c r="E78" s="234"/>
      <c r="F78" s="233" t="s">
        <v>70</v>
      </c>
      <c r="G78" s="234"/>
      <c r="H78" s="233" t="s">
        <v>71</v>
      </c>
      <c r="I78" s="234"/>
      <c r="J78" s="233" t="s">
        <v>109</v>
      </c>
      <c r="K78" s="234"/>
      <c r="L78" s="233" t="s">
        <v>110</v>
      </c>
      <c r="M78" s="234"/>
      <c r="N78" s="233" t="s">
        <v>74</v>
      </c>
      <c r="O78" s="234"/>
      <c r="P78" s="233" t="s">
        <v>75</v>
      </c>
      <c r="Q78" s="234"/>
      <c r="R78" s="233" t="s">
        <v>76</v>
      </c>
      <c r="S78" s="234"/>
      <c r="T78" s="233" t="s">
        <v>77</v>
      </c>
      <c r="U78" s="234"/>
      <c r="V78" s="233" t="s">
        <v>111</v>
      </c>
      <c r="W78" s="234"/>
      <c r="X78" s="233" t="s">
        <v>79</v>
      </c>
      <c r="Y78" s="234"/>
      <c r="Z78" s="233" t="s">
        <v>112</v>
      </c>
      <c r="AA78" s="234"/>
    </row>
    <row r="79" spans="1:27" s="104" customFormat="1" ht="12.75" customHeight="1">
      <c r="A79" s="226"/>
      <c r="B79" s="108" t="s">
        <v>15</v>
      </c>
      <c r="C79" s="108" t="s">
        <v>10</v>
      </c>
      <c r="D79" s="108" t="s">
        <v>15</v>
      </c>
      <c r="E79" s="108" t="s">
        <v>10</v>
      </c>
      <c r="F79" s="108" t="s">
        <v>15</v>
      </c>
      <c r="G79" s="108" t="s">
        <v>10</v>
      </c>
      <c r="H79" s="108" t="s">
        <v>15</v>
      </c>
      <c r="I79" s="108" t="s">
        <v>10</v>
      </c>
      <c r="J79" s="108" t="s">
        <v>15</v>
      </c>
      <c r="K79" s="108" t="s">
        <v>10</v>
      </c>
      <c r="L79" s="108" t="s">
        <v>15</v>
      </c>
      <c r="M79" s="108" t="s">
        <v>10</v>
      </c>
      <c r="N79" s="108" t="s">
        <v>15</v>
      </c>
      <c r="O79" s="108" t="s">
        <v>10</v>
      </c>
      <c r="P79" s="108" t="s">
        <v>15</v>
      </c>
      <c r="Q79" s="108" t="s">
        <v>10</v>
      </c>
      <c r="R79" s="108" t="s">
        <v>15</v>
      </c>
      <c r="S79" s="108" t="s">
        <v>10</v>
      </c>
      <c r="T79" s="108" t="s">
        <v>15</v>
      </c>
      <c r="U79" s="108" t="s">
        <v>10</v>
      </c>
      <c r="V79" s="108" t="s">
        <v>15</v>
      </c>
      <c r="W79" s="108" t="s">
        <v>10</v>
      </c>
      <c r="X79" s="108" t="s">
        <v>15</v>
      </c>
      <c r="Y79" s="108" t="s">
        <v>10</v>
      </c>
      <c r="Z79" s="108" t="s">
        <v>15</v>
      </c>
      <c r="AA79" s="108" t="s">
        <v>10</v>
      </c>
    </row>
    <row r="80" spans="1:27" s="104" customFormat="1" ht="13.5" customHeight="1">
      <c r="A80" s="109"/>
      <c r="AA80" s="145"/>
    </row>
    <row r="81" spans="1:27" s="104" customFormat="1" ht="15.75">
      <c r="A81" s="113" t="s">
        <v>107</v>
      </c>
      <c r="B81" s="129"/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  <c r="AA81" s="130"/>
    </row>
    <row r="82" spans="1:27" s="104" customFormat="1" ht="9" customHeight="1">
      <c r="A82" s="109"/>
      <c r="B82" s="123"/>
      <c r="C82" s="123"/>
      <c r="D82" s="123"/>
      <c r="E82" s="123"/>
      <c r="F82" s="123"/>
      <c r="G82" s="123"/>
      <c r="H82" s="123"/>
      <c r="I82" s="122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122"/>
      <c r="AA82" s="133"/>
    </row>
    <row r="83" spans="1:27" s="104" customFormat="1" ht="12.75" customHeight="1">
      <c r="A83" s="116" t="s">
        <v>113</v>
      </c>
      <c r="B83" s="117">
        <f>IRJ1_FR!B80</f>
        <v>20.700000000000003</v>
      </c>
      <c r="C83" s="117">
        <f>IRJ1_FR!C80</f>
        <v>16.2</v>
      </c>
      <c r="D83" s="118">
        <f>IRJ1_FR!D80</f>
        <v>21.599999999999994</v>
      </c>
      <c r="E83" s="119">
        <f>IRJ1_FR!E80</f>
        <v>18.099999999999994</v>
      </c>
      <c r="F83" s="117">
        <f>IRJ1_FR!F80</f>
        <v>0</v>
      </c>
      <c r="G83" s="119">
        <f>IRJ1_FR!G80</f>
        <v>0</v>
      </c>
      <c r="H83" s="117">
        <f>IRJ1_FR!H80</f>
        <v>89.5</v>
      </c>
      <c r="I83" s="119">
        <f>IRJ1_FR!I80</f>
        <v>4.2999999999999972</v>
      </c>
      <c r="J83" s="117">
        <f>IRJ1_FR!J80</f>
        <v>0</v>
      </c>
      <c r="K83" s="119">
        <f>IRJ1_FR!K80</f>
        <v>0</v>
      </c>
      <c r="L83" s="117">
        <f>IRJ1_FR!L80</f>
        <v>21.699999999999989</v>
      </c>
      <c r="M83" s="119">
        <f>IRJ1_FR!M80</f>
        <v>16.599999999999994</v>
      </c>
      <c r="N83" s="117">
        <f>IRJ1_FR!N80</f>
        <v>12.299999999999997</v>
      </c>
      <c r="O83" s="119">
        <f>IRJ1_FR!O80</f>
        <v>12.199999999999989</v>
      </c>
      <c r="P83" s="117">
        <f>IRJ1_FR!P80</f>
        <v>31.899999999999991</v>
      </c>
      <c r="Q83" s="119">
        <f>IRJ1_FR!Q80</f>
        <v>31.899999999999991</v>
      </c>
      <c r="R83" s="117">
        <f>IRJ1_FR!R80</f>
        <v>6.1999999999999886</v>
      </c>
      <c r="S83" s="119">
        <f>IRJ1_FR!S80</f>
        <v>6.1999999999999886</v>
      </c>
      <c r="T83" s="117">
        <f>IRJ1_FR!T80</f>
        <v>0</v>
      </c>
      <c r="U83" s="119">
        <f>IRJ1_FR!U80</f>
        <v>0</v>
      </c>
      <c r="V83" s="117">
        <f>IRJ1_FR!V80</f>
        <v>19.799999999999997</v>
      </c>
      <c r="W83" s="119">
        <f>IRJ1_FR!W80</f>
        <v>19.799999999999997</v>
      </c>
      <c r="X83" s="117">
        <f>IRJ1_FR!X80</f>
        <v>35.899999999999991</v>
      </c>
      <c r="Y83" s="119">
        <f>IRJ1_FR!Y80</f>
        <v>36</v>
      </c>
      <c r="Z83" s="117">
        <f>IRJ1_FR!Z80</f>
        <v>43.9</v>
      </c>
      <c r="AA83" s="119">
        <f>IRJ1_FR!AA80</f>
        <v>53.9</v>
      </c>
    </row>
    <row r="84" spans="1:27" s="104" customFormat="1" ht="12.75" customHeight="1">
      <c r="A84" s="116" t="s">
        <v>114</v>
      </c>
      <c r="B84" s="117">
        <f>IRJ1_FR!B81</f>
        <v>69.400000000000006</v>
      </c>
      <c r="C84" s="117">
        <f>IRJ1_FR!C81</f>
        <v>72.2</v>
      </c>
      <c r="D84" s="118">
        <f>IRJ1_FR!D81</f>
        <v>71.600000000000009</v>
      </c>
      <c r="E84" s="119">
        <f>IRJ1_FR!E81</f>
        <v>69.100000000000009</v>
      </c>
      <c r="F84" s="117">
        <f>IRJ1_FR!F81</f>
        <v>100</v>
      </c>
      <c r="G84" s="119">
        <f>IRJ1_FR!G81</f>
        <v>98.100000000000009</v>
      </c>
      <c r="H84" s="117">
        <f>IRJ1_FR!H81</f>
        <v>10.5</v>
      </c>
      <c r="I84" s="119">
        <f>IRJ1_FR!I81</f>
        <v>95.7</v>
      </c>
      <c r="J84" s="117">
        <f>IRJ1_FR!J81</f>
        <v>100</v>
      </c>
      <c r="K84" s="119">
        <f>IRJ1_FR!K81</f>
        <v>100</v>
      </c>
      <c r="L84" s="117">
        <f>IRJ1_FR!L81</f>
        <v>58.1</v>
      </c>
      <c r="M84" s="119">
        <f>IRJ1_FR!M81</f>
        <v>83.4</v>
      </c>
      <c r="N84" s="117">
        <f>IRJ1_FR!N81</f>
        <v>78</v>
      </c>
      <c r="O84" s="119">
        <f>IRJ1_FR!O81</f>
        <v>78.2</v>
      </c>
      <c r="P84" s="117">
        <f>IRJ1_FR!P81</f>
        <v>65.100000000000009</v>
      </c>
      <c r="Q84" s="119">
        <f>IRJ1_FR!Q81</f>
        <v>65.100000000000009</v>
      </c>
      <c r="R84" s="117">
        <f>IRJ1_FR!R81</f>
        <v>90.300000000000011</v>
      </c>
      <c r="S84" s="119">
        <f>IRJ1_FR!S81</f>
        <v>85.300000000000011</v>
      </c>
      <c r="T84" s="117">
        <f>IRJ1_FR!T81</f>
        <v>85.800000000000011</v>
      </c>
      <c r="U84" s="119">
        <f>IRJ1_FR!U81</f>
        <v>93.7</v>
      </c>
      <c r="V84" s="117">
        <f>IRJ1_FR!V81</f>
        <v>80.2</v>
      </c>
      <c r="W84" s="119">
        <f>IRJ1_FR!W81</f>
        <v>80.2</v>
      </c>
      <c r="X84" s="117">
        <f>IRJ1_FR!X81</f>
        <v>29.5</v>
      </c>
      <c r="Y84" s="119">
        <f>IRJ1_FR!Y81</f>
        <v>29.5</v>
      </c>
      <c r="Z84" s="117">
        <f>IRJ1_FR!Z81</f>
        <v>56.1</v>
      </c>
      <c r="AA84" s="119">
        <f>IRJ1_FR!AA81</f>
        <v>21.900000000000002</v>
      </c>
    </row>
    <row r="85" spans="1:27" s="104" customFormat="1" ht="12.75" customHeight="1">
      <c r="A85" s="116" t="s">
        <v>115</v>
      </c>
      <c r="B85" s="117">
        <f>IRJ1_FR!B82</f>
        <v>9.9</v>
      </c>
      <c r="C85" s="117">
        <f>IRJ1_FR!C82</f>
        <v>11.600000000000001</v>
      </c>
      <c r="D85" s="118">
        <f>IRJ1_FR!D82</f>
        <v>6.8000000000000007</v>
      </c>
      <c r="E85" s="119">
        <f>IRJ1_FR!E82</f>
        <v>12.8</v>
      </c>
      <c r="F85" s="117">
        <f>IRJ1_FR!F82</f>
        <v>0</v>
      </c>
      <c r="G85" s="119">
        <f>IRJ1_FR!G82</f>
        <v>1.9000000000000001</v>
      </c>
      <c r="H85" s="117">
        <f>IRJ1_FR!H82</f>
        <v>0</v>
      </c>
      <c r="I85" s="119">
        <f>IRJ1_FR!I82</f>
        <v>0</v>
      </c>
      <c r="J85" s="117">
        <f>IRJ1_FR!J82</f>
        <v>0</v>
      </c>
      <c r="K85" s="119">
        <f>IRJ1_FR!K82</f>
        <v>0</v>
      </c>
      <c r="L85" s="117">
        <f>IRJ1_FR!L82</f>
        <v>20.200000000000003</v>
      </c>
      <c r="M85" s="119">
        <f>IRJ1_FR!M82</f>
        <v>0</v>
      </c>
      <c r="N85" s="117">
        <f>IRJ1_FR!N82</f>
        <v>9.7000000000000011</v>
      </c>
      <c r="O85" s="119">
        <f>IRJ1_FR!O82</f>
        <v>9.6000000000000014</v>
      </c>
      <c r="P85" s="117">
        <f>IRJ1_FR!P82</f>
        <v>3</v>
      </c>
      <c r="Q85" s="119">
        <f>IRJ1_FR!Q82</f>
        <v>3</v>
      </c>
      <c r="R85" s="117">
        <f>IRJ1_FR!R82</f>
        <v>3.5</v>
      </c>
      <c r="S85" s="119">
        <f>IRJ1_FR!S82</f>
        <v>8.5</v>
      </c>
      <c r="T85" s="117">
        <f>IRJ1_FR!T82</f>
        <v>14.200000000000001</v>
      </c>
      <c r="U85" s="119">
        <f>IRJ1_FR!U82</f>
        <v>6.3000000000000007</v>
      </c>
      <c r="V85" s="117">
        <f>IRJ1_FR!V82</f>
        <v>0</v>
      </c>
      <c r="W85" s="119">
        <f>IRJ1_FR!W82</f>
        <v>0</v>
      </c>
      <c r="X85" s="117">
        <f>IRJ1_FR!X82</f>
        <v>34.6</v>
      </c>
      <c r="Y85" s="119">
        <f>IRJ1_FR!Y82</f>
        <v>34.5</v>
      </c>
      <c r="Z85" s="117">
        <f>IRJ1_FR!Z82</f>
        <v>0</v>
      </c>
      <c r="AA85" s="119">
        <f>IRJ1_FR!AA82</f>
        <v>24.200000000000003</v>
      </c>
    </row>
    <row r="86" spans="1:27" s="104" customFormat="1" ht="13.5" customHeight="1">
      <c r="A86" s="109"/>
      <c r="AA86" s="145"/>
    </row>
    <row r="87" spans="1:27" s="104" customFormat="1" ht="15.75">
      <c r="A87" s="146" t="s">
        <v>164</v>
      </c>
      <c r="B87" s="114"/>
      <c r="C87" s="114"/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114"/>
      <c r="X87" s="114"/>
      <c r="Y87" s="114"/>
      <c r="Z87" s="114"/>
      <c r="AA87" s="107"/>
    </row>
    <row r="88" spans="1:27" s="104" customFormat="1" ht="9" customHeight="1">
      <c r="A88" s="134"/>
      <c r="B88" s="147"/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148"/>
      <c r="O88" s="148"/>
      <c r="P88" s="148"/>
      <c r="Q88" s="148"/>
      <c r="R88" s="148"/>
      <c r="S88" s="148"/>
      <c r="T88" s="148"/>
      <c r="U88" s="148"/>
      <c r="V88" s="148"/>
      <c r="W88" s="148"/>
      <c r="X88" s="148"/>
      <c r="Y88" s="148"/>
      <c r="Z88" s="148"/>
      <c r="AA88" s="149"/>
    </row>
    <row r="89" spans="1:27" s="104" customFormat="1" ht="12.75" customHeight="1">
      <c r="A89" s="116" t="s">
        <v>128</v>
      </c>
      <c r="B89" s="117">
        <f>IRJ1_FR!B86</f>
        <v>9.6000000000000014</v>
      </c>
      <c r="C89" s="119">
        <f>IRJ1_FR!C86</f>
        <v>10.8</v>
      </c>
      <c r="D89" s="117">
        <f>IRJ1_FR!D86</f>
        <v>26.200000000000003</v>
      </c>
      <c r="E89" s="119">
        <f>IRJ1_FR!E86</f>
        <v>25.8</v>
      </c>
      <c r="F89" s="117">
        <f>IRJ1_FR!F86</f>
        <v>0</v>
      </c>
      <c r="G89" s="119">
        <f>IRJ1_FR!G86</f>
        <v>0</v>
      </c>
      <c r="H89" s="117">
        <f>IRJ1_FR!H86</f>
        <v>5.1000000000000005</v>
      </c>
      <c r="I89" s="119">
        <f>IRJ1_FR!I86</f>
        <v>5.1000000000000005</v>
      </c>
      <c r="J89" s="117">
        <f>IRJ1_FR!J86</f>
        <v>75.8</v>
      </c>
      <c r="K89" s="119">
        <f>IRJ1_FR!K86</f>
        <v>69.8</v>
      </c>
      <c r="L89" s="117">
        <f>IRJ1_FR!L86</f>
        <v>62.800000000000004</v>
      </c>
      <c r="M89" s="119">
        <f>IRJ1_FR!M86</f>
        <v>23</v>
      </c>
      <c r="N89" s="117">
        <f>IRJ1_FR!N86</f>
        <v>2</v>
      </c>
      <c r="O89" s="119">
        <f>IRJ1_FR!O86</f>
        <v>2</v>
      </c>
      <c r="P89" s="117">
        <f>IRJ1_FR!P86</f>
        <v>4.1000000000000005</v>
      </c>
      <c r="Q89" s="119">
        <f>IRJ1_FR!Q86</f>
        <v>18.8</v>
      </c>
      <c r="R89" s="117">
        <f>IRJ1_FR!R86</f>
        <v>2.2000000000000002</v>
      </c>
      <c r="S89" s="119">
        <f>IRJ1_FR!S86</f>
        <v>2.3000000000000003</v>
      </c>
      <c r="T89" s="117">
        <f>IRJ1_FR!T86</f>
        <v>12.600000000000001</v>
      </c>
      <c r="U89" s="119">
        <f>IRJ1_FR!U86</f>
        <v>18.100000000000001</v>
      </c>
      <c r="V89" s="117">
        <f>IRJ1_FR!V86</f>
        <v>5.2</v>
      </c>
      <c r="W89" s="119">
        <f>IRJ1_FR!W86</f>
        <v>40.5</v>
      </c>
      <c r="X89" s="117">
        <f>IRJ1_FR!X86</f>
        <v>2.3000000000000003</v>
      </c>
      <c r="Y89" s="119">
        <f>IRJ1_FR!Y86</f>
        <v>3.4000000000000004</v>
      </c>
      <c r="Z89" s="117">
        <f>IRJ1_FR!Z86</f>
        <v>12.200000000000001</v>
      </c>
      <c r="AA89" s="119">
        <f>IRJ1_FR!AA86</f>
        <v>16.600000000000001</v>
      </c>
    </row>
    <row r="90" spans="1:27" s="104" customFormat="1" ht="12.75" customHeight="1">
      <c r="A90" s="116" t="s">
        <v>129</v>
      </c>
      <c r="B90" s="117">
        <f>IRJ1_FR!B87</f>
        <v>0</v>
      </c>
      <c r="C90" s="119">
        <f>IRJ1_FR!C87</f>
        <v>0</v>
      </c>
      <c r="D90" s="117">
        <f>IRJ1_FR!D87</f>
        <v>0</v>
      </c>
      <c r="E90" s="119">
        <f>IRJ1_FR!E87</f>
        <v>0</v>
      </c>
      <c r="F90" s="117">
        <f>IRJ1_FR!F87</f>
        <v>0</v>
      </c>
      <c r="G90" s="119">
        <f>IRJ1_FR!G87</f>
        <v>0</v>
      </c>
      <c r="H90" s="117">
        <f>IRJ1_FR!H87</f>
        <v>0</v>
      </c>
      <c r="I90" s="119">
        <f>IRJ1_FR!I87</f>
        <v>0</v>
      </c>
      <c r="J90" s="117">
        <f>IRJ1_FR!J87</f>
        <v>0</v>
      </c>
      <c r="K90" s="119">
        <f>IRJ1_FR!K87</f>
        <v>0</v>
      </c>
      <c r="L90" s="117">
        <f>IRJ1_FR!L87</f>
        <v>0</v>
      </c>
      <c r="M90" s="119">
        <f>IRJ1_FR!M87</f>
        <v>0</v>
      </c>
      <c r="N90" s="117">
        <f>IRJ1_FR!N87</f>
        <v>0</v>
      </c>
      <c r="O90" s="119">
        <f>IRJ1_FR!O87</f>
        <v>0</v>
      </c>
      <c r="P90" s="117">
        <f>IRJ1_FR!P87</f>
        <v>0</v>
      </c>
      <c r="Q90" s="119">
        <f>IRJ1_FR!Q87</f>
        <v>0</v>
      </c>
      <c r="R90" s="117">
        <f>IRJ1_FR!R87</f>
        <v>0</v>
      </c>
      <c r="S90" s="119">
        <f>IRJ1_FR!S87</f>
        <v>0</v>
      </c>
      <c r="T90" s="117">
        <f>IRJ1_FR!T87</f>
        <v>0</v>
      </c>
      <c r="U90" s="119">
        <f>IRJ1_FR!U87</f>
        <v>0</v>
      </c>
      <c r="V90" s="117">
        <f>IRJ1_FR!V87</f>
        <v>0</v>
      </c>
      <c r="W90" s="119">
        <f>IRJ1_FR!W87</f>
        <v>0</v>
      </c>
      <c r="X90" s="117">
        <f>IRJ1_FR!X87</f>
        <v>0</v>
      </c>
      <c r="Y90" s="119">
        <f>IRJ1_FR!Y87</f>
        <v>0</v>
      </c>
      <c r="Z90" s="117">
        <f>IRJ1_FR!Z87</f>
        <v>0</v>
      </c>
      <c r="AA90" s="119">
        <f>IRJ1_FR!AA87</f>
        <v>0</v>
      </c>
    </row>
    <row r="91" spans="1:27" s="104" customFormat="1" ht="12.75" customHeight="1">
      <c r="A91" s="116" t="s">
        <v>130</v>
      </c>
      <c r="B91" s="117">
        <f>IRJ1_FR!B88</f>
        <v>49</v>
      </c>
      <c r="C91" s="119">
        <f>IRJ1_FR!C88</f>
        <v>50</v>
      </c>
      <c r="D91" s="117">
        <f>IRJ1_FR!D88</f>
        <v>9.9</v>
      </c>
      <c r="E91" s="119">
        <f>IRJ1_FR!E88</f>
        <v>30.3</v>
      </c>
      <c r="F91" s="117">
        <f>IRJ1_FR!F88</f>
        <v>98.100000000000009</v>
      </c>
      <c r="G91" s="119">
        <f>IRJ1_FR!G88</f>
        <v>98.100000000000009</v>
      </c>
      <c r="H91" s="117">
        <f>IRJ1_FR!H88</f>
        <v>89.5</v>
      </c>
      <c r="I91" s="119">
        <f>IRJ1_FR!I88</f>
        <v>89.5</v>
      </c>
      <c r="J91" s="117">
        <f>IRJ1_FR!J88</f>
        <v>24.200000000000003</v>
      </c>
      <c r="K91" s="119">
        <f>IRJ1_FR!K88</f>
        <v>30.200000000000003</v>
      </c>
      <c r="L91" s="117">
        <f>IRJ1_FR!L88</f>
        <v>20.6</v>
      </c>
      <c r="M91" s="119">
        <f>IRJ1_FR!M88</f>
        <v>40.700000000000003</v>
      </c>
      <c r="N91" s="117">
        <f>IRJ1_FR!N88</f>
        <v>68.2</v>
      </c>
      <c r="O91" s="119">
        <f>IRJ1_FR!O88</f>
        <v>71.600000000000009</v>
      </c>
      <c r="P91" s="117">
        <f>IRJ1_FR!P88</f>
        <v>81.2</v>
      </c>
      <c r="Q91" s="119">
        <f>IRJ1_FR!Q88</f>
        <v>81.2</v>
      </c>
      <c r="R91" s="117">
        <f>IRJ1_FR!R88</f>
        <v>5.7</v>
      </c>
      <c r="S91" s="119">
        <f>IRJ1_FR!S88</f>
        <v>7.8000000000000007</v>
      </c>
      <c r="T91" s="117">
        <f>IRJ1_FR!T88</f>
        <v>71.3</v>
      </c>
      <c r="U91" s="119">
        <f>IRJ1_FR!U88</f>
        <v>71.5</v>
      </c>
      <c r="V91" s="117">
        <f>IRJ1_FR!V88</f>
        <v>80.2</v>
      </c>
      <c r="W91" s="119">
        <f>IRJ1_FR!W88</f>
        <v>44.900000000000006</v>
      </c>
      <c r="X91" s="117">
        <f>IRJ1_FR!X88</f>
        <v>55.400000000000006</v>
      </c>
      <c r="Y91" s="119">
        <f>IRJ1_FR!Y88</f>
        <v>53</v>
      </c>
      <c r="Z91" s="117">
        <f>IRJ1_FR!Z88</f>
        <v>44</v>
      </c>
      <c r="AA91" s="119">
        <f>IRJ1_FR!AA88</f>
        <v>25.200000000000003</v>
      </c>
    </row>
    <row r="92" spans="1:27" s="104" customFormat="1" ht="12.75" customHeight="1">
      <c r="A92" s="116" t="s">
        <v>131</v>
      </c>
      <c r="B92" s="117">
        <f>IRJ1_FR!B89</f>
        <v>17.100000000000001</v>
      </c>
      <c r="C92" s="119">
        <f>IRJ1_FR!C89</f>
        <v>15.600000000000001</v>
      </c>
      <c r="D92" s="117">
        <f>IRJ1_FR!D89</f>
        <v>53.800000000000004</v>
      </c>
      <c r="E92" s="119">
        <f>IRJ1_FR!E89</f>
        <v>45.300000000000004</v>
      </c>
      <c r="F92" s="117">
        <f>IRJ1_FR!F89</f>
        <v>0</v>
      </c>
      <c r="G92" s="119">
        <f>IRJ1_FR!G89</f>
        <v>0</v>
      </c>
      <c r="H92" s="117">
        <f>IRJ1_FR!H89</f>
        <v>4.3</v>
      </c>
      <c r="I92" s="119">
        <f>IRJ1_FR!I89</f>
        <v>4.3</v>
      </c>
      <c r="J92" s="117">
        <f>IRJ1_FR!J89</f>
        <v>0</v>
      </c>
      <c r="K92" s="119">
        <f>IRJ1_FR!K89</f>
        <v>0</v>
      </c>
      <c r="L92" s="117">
        <f>IRJ1_FR!L89</f>
        <v>16.600000000000001</v>
      </c>
      <c r="M92" s="119">
        <f>IRJ1_FR!M89</f>
        <v>16.600000000000001</v>
      </c>
      <c r="N92" s="117">
        <f>IRJ1_FR!N89</f>
        <v>13.100000000000001</v>
      </c>
      <c r="O92" s="119">
        <f>IRJ1_FR!O89</f>
        <v>3.4000000000000004</v>
      </c>
      <c r="P92" s="117">
        <f>IRJ1_FR!P89</f>
        <v>31.900000000000002</v>
      </c>
      <c r="Q92" s="119">
        <f>IRJ1_FR!Q89</f>
        <v>31.900000000000002</v>
      </c>
      <c r="R92" s="117">
        <f>IRJ1_FR!R89</f>
        <v>6.2</v>
      </c>
      <c r="S92" s="119">
        <f>IRJ1_FR!S89</f>
        <v>6.2</v>
      </c>
      <c r="T92" s="117">
        <f>IRJ1_FR!T89</f>
        <v>34.700000000000003</v>
      </c>
      <c r="U92" s="119">
        <f>IRJ1_FR!U89</f>
        <v>34.5</v>
      </c>
      <c r="V92" s="117">
        <f>IRJ1_FR!V89</f>
        <v>14.600000000000001</v>
      </c>
      <c r="W92" s="119">
        <f>IRJ1_FR!W89</f>
        <v>14.600000000000001</v>
      </c>
      <c r="X92" s="117">
        <f>IRJ1_FR!X89</f>
        <v>5.3000000000000007</v>
      </c>
      <c r="Y92" s="119">
        <f>IRJ1_FR!Y89</f>
        <v>5.3000000000000007</v>
      </c>
      <c r="Z92" s="117">
        <f>IRJ1_FR!Z89</f>
        <v>53.800000000000004</v>
      </c>
      <c r="AA92" s="119">
        <f>IRJ1_FR!AA89</f>
        <v>60.900000000000006</v>
      </c>
    </row>
    <row r="93" spans="1:27" s="104" customFormat="1" ht="12.75" customHeight="1">
      <c r="A93" s="116" t="s">
        <v>132</v>
      </c>
      <c r="B93" s="117">
        <f>IRJ1_FR!B90</f>
        <v>3.1</v>
      </c>
      <c r="C93" s="119">
        <f>IRJ1_FR!C90</f>
        <v>4.1000000000000005</v>
      </c>
      <c r="D93" s="117">
        <f>IRJ1_FR!D90</f>
        <v>9.7000000000000011</v>
      </c>
      <c r="E93" s="119">
        <f>IRJ1_FR!E90</f>
        <v>0</v>
      </c>
      <c r="F93" s="117">
        <f>IRJ1_FR!F90</f>
        <v>0</v>
      </c>
      <c r="G93" s="119">
        <f>IRJ1_FR!G90</f>
        <v>0</v>
      </c>
      <c r="H93" s="117">
        <f>IRJ1_FR!H90</f>
        <v>0</v>
      </c>
      <c r="I93" s="119">
        <f>IRJ1_FR!I90</f>
        <v>0</v>
      </c>
      <c r="J93" s="117">
        <f>IRJ1_FR!J90</f>
        <v>0</v>
      </c>
      <c r="K93" s="119">
        <f>IRJ1_FR!K90</f>
        <v>0</v>
      </c>
      <c r="L93" s="117">
        <f>IRJ1_FR!L90</f>
        <v>16.600000000000001</v>
      </c>
      <c r="M93" s="119">
        <f>IRJ1_FR!M90</f>
        <v>16.600000000000001</v>
      </c>
      <c r="N93" s="117">
        <f>IRJ1_FR!N90</f>
        <v>3.4000000000000004</v>
      </c>
      <c r="O93" s="119">
        <f>IRJ1_FR!O90</f>
        <v>3.4000000000000004</v>
      </c>
      <c r="P93" s="117">
        <f>IRJ1_FR!P90</f>
        <v>0</v>
      </c>
      <c r="Q93" s="119">
        <f>IRJ1_FR!Q90</f>
        <v>0</v>
      </c>
      <c r="R93" s="117">
        <f>IRJ1_FR!R90</f>
        <v>0</v>
      </c>
      <c r="S93" s="119">
        <f>IRJ1_FR!S90</f>
        <v>2.9000000000000004</v>
      </c>
      <c r="T93" s="117">
        <f>IRJ1_FR!T90</f>
        <v>6</v>
      </c>
      <c r="U93" s="119">
        <f>IRJ1_FR!U90</f>
        <v>8.9</v>
      </c>
      <c r="V93" s="117">
        <f>IRJ1_FR!V90</f>
        <v>0</v>
      </c>
      <c r="W93" s="119">
        <f>IRJ1_FR!W90</f>
        <v>0</v>
      </c>
      <c r="X93" s="117">
        <f>IRJ1_FR!X90</f>
        <v>5.3000000000000007</v>
      </c>
      <c r="Y93" s="119">
        <f>IRJ1_FR!Y90</f>
        <v>5.3000000000000007</v>
      </c>
      <c r="Z93" s="117">
        <f>IRJ1_FR!Z90</f>
        <v>0</v>
      </c>
      <c r="AA93" s="119">
        <f>IRJ1_FR!AA90</f>
        <v>18.5</v>
      </c>
    </row>
    <row r="94" spans="1:27" s="104" customFormat="1" ht="12.75" customHeight="1">
      <c r="A94" s="116" t="s">
        <v>133</v>
      </c>
      <c r="B94" s="117">
        <f>IRJ1_FR!B91</f>
        <v>5.3000000000000007</v>
      </c>
      <c r="C94" s="119">
        <f>IRJ1_FR!C91</f>
        <v>6.7</v>
      </c>
      <c r="D94" s="117">
        <f>IRJ1_FR!D91</f>
        <v>8.7000000000000011</v>
      </c>
      <c r="E94" s="119">
        <f>IRJ1_FR!E91</f>
        <v>14.600000000000001</v>
      </c>
      <c r="F94" s="117">
        <f>IRJ1_FR!F91</f>
        <v>1.9000000000000001</v>
      </c>
      <c r="G94" s="119">
        <f>IRJ1_FR!G91</f>
        <v>1.9000000000000001</v>
      </c>
      <c r="H94" s="117">
        <f>IRJ1_FR!H91</f>
        <v>0</v>
      </c>
      <c r="I94" s="119">
        <f>IRJ1_FR!I91</f>
        <v>0</v>
      </c>
      <c r="J94" s="117">
        <f>IRJ1_FR!J91</f>
        <v>0</v>
      </c>
      <c r="K94" s="119">
        <f>IRJ1_FR!K91</f>
        <v>0</v>
      </c>
      <c r="L94" s="117">
        <f>IRJ1_FR!L91</f>
        <v>0</v>
      </c>
      <c r="M94" s="119">
        <f>IRJ1_FR!M91</f>
        <v>0</v>
      </c>
      <c r="N94" s="117">
        <f>IRJ1_FR!N91</f>
        <v>21.700000000000003</v>
      </c>
      <c r="O94" s="119">
        <f>IRJ1_FR!O91</f>
        <v>21.5</v>
      </c>
      <c r="P94" s="117">
        <f>IRJ1_FR!P91</f>
        <v>3</v>
      </c>
      <c r="Q94" s="119">
        <f>IRJ1_FR!Q91</f>
        <v>0</v>
      </c>
      <c r="R94" s="117">
        <f>IRJ1_FR!R91</f>
        <v>0</v>
      </c>
      <c r="S94" s="119">
        <f>IRJ1_FR!S91</f>
        <v>3.5</v>
      </c>
      <c r="T94" s="117">
        <f>IRJ1_FR!T91</f>
        <v>18.400000000000002</v>
      </c>
      <c r="U94" s="119">
        <f>IRJ1_FR!U91</f>
        <v>18.7</v>
      </c>
      <c r="V94" s="117">
        <f>IRJ1_FR!V91</f>
        <v>0</v>
      </c>
      <c r="W94" s="119">
        <f>IRJ1_FR!W91</f>
        <v>10.200000000000001</v>
      </c>
      <c r="X94" s="117">
        <f>IRJ1_FR!X91</f>
        <v>0</v>
      </c>
      <c r="Y94" s="119">
        <f>IRJ1_FR!Y91</f>
        <v>0</v>
      </c>
      <c r="Z94" s="117">
        <f>IRJ1_FR!Z91</f>
        <v>6.7</v>
      </c>
      <c r="AA94" s="119">
        <f>IRJ1_FR!AA91</f>
        <v>6.7</v>
      </c>
    </row>
    <row r="95" spans="1:27" s="104" customFormat="1" ht="12.75" customHeight="1">
      <c r="A95" s="116" t="s">
        <v>134</v>
      </c>
      <c r="B95" s="117">
        <f>IRJ1_FR!B92</f>
        <v>15.90000156402588</v>
      </c>
      <c r="C95" s="119">
        <f>IRJ1_FR!C92</f>
        <v>12.800004692077637</v>
      </c>
      <c r="D95" s="117">
        <f>IRJ1_FR!D92</f>
        <v>8.5000000095367447</v>
      </c>
      <c r="E95" s="119">
        <f>IRJ1_FR!E92</f>
        <v>5.2400000095367432</v>
      </c>
      <c r="F95" s="117">
        <f>IRJ1_FR!F92</f>
        <v>0.37999999523162842</v>
      </c>
      <c r="G95" s="119">
        <f>IRJ1_FR!G92</f>
        <v>0.75999999523162853</v>
      </c>
      <c r="H95" s="117">
        <f>IRJ1_FR!H92</f>
        <v>1.9400000000000002</v>
      </c>
      <c r="I95" s="119">
        <f>IRJ1_FR!I92</f>
        <v>1.9400000000000002</v>
      </c>
      <c r="J95" s="117">
        <f>IRJ1_FR!J92</f>
        <v>0.9</v>
      </c>
      <c r="K95" s="119">
        <f>IRJ1_FR!K92</f>
        <v>0.9</v>
      </c>
      <c r="L95" s="117">
        <f>IRJ1_FR!L92</f>
        <v>4.2799999237060549</v>
      </c>
      <c r="M95" s="119">
        <f>IRJ1_FR!M92</f>
        <v>7.2600000762939461</v>
      </c>
      <c r="N95" s="117">
        <f>IRJ1_FR!N92</f>
        <v>12.039999847412108</v>
      </c>
      <c r="O95" s="119">
        <f>IRJ1_FR!O92</f>
        <v>11.39999984741211</v>
      </c>
      <c r="P95" s="117">
        <f>IRJ1_FR!P92</f>
        <v>12.599999923706054</v>
      </c>
      <c r="Q95" s="119">
        <f>IRJ1_FR!Q92</f>
        <v>9.6399999237060534</v>
      </c>
      <c r="R95" s="117">
        <f>IRJ1_FR!R92</f>
        <v>85.900000419616703</v>
      </c>
      <c r="S95" s="119">
        <f>IRJ1_FR!S92</f>
        <v>77.300001029968257</v>
      </c>
      <c r="T95" s="117">
        <f>IRJ1_FR!T92</f>
        <v>3.2400000000000007</v>
      </c>
      <c r="U95" s="119">
        <f>IRJ1_FR!U92</f>
        <v>2.66</v>
      </c>
      <c r="V95" s="117">
        <f>IRJ1_FR!V92</f>
        <v>11.780000152587892</v>
      </c>
      <c r="W95" s="119">
        <f>IRJ1_FR!W92</f>
        <v>13.519999923706056</v>
      </c>
      <c r="X95" s="117">
        <f>IRJ1_FR!X92</f>
        <v>31.699993896484376</v>
      </c>
      <c r="Y95" s="119">
        <f>IRJ1_FR!Y92</f>
        <v>33.000002441406252</v>
      </c>
      <c r="Z95" s="117">
        <f>IRJ1_FR!Z92</f>
        <v>1.2399999618530273</v>
      </c>
      <c r="AA95" s="119">
        <f>IRJ1_FR!AA92</f>
        <v>2.6999999618530275</v>
      </c>
    </row>
    <row r="96" spans="1:27" s="104" customFormat="1" ht="11.45" customHeight="1">
      <c r="A96" s="134"/>
      <c r="B96" s="117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X96" s="117"/>
      <c r="Y96" s="117"/>
      <c r="Z96" s="117"/>
      <c r="AA96" s="119"/>
    </row>
    <row r="97" spans="1:27" s="104" customFormat="1" ht="15.75">
      <c r="A97" s="146" t="s">
        <v>122</v>
      </c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  <c r="AA97" s="130"/>
    </row>
    <row r="98" spans="1:27" s="104" customFormat="1" ht="9" customHeight="1">
      <c r="A98" s="134"/>
      <c r="B98" s="117"/>
      <c r="C98" s="150"/>
      <c r="D98" s="150"/>
      <c r="E98" s="150"/>
      <c r="F98" s="150"/>
      <c r="G98" s="150"/>
      <c r="H98" s="150"/>
      <c r="I98" s="150"/>
      <c r="J98" s="150"/>
      <c r="K98" s="150"/>
      <c r="L98" s="150"/>
      <c r="M98" s="150"/>
      <c r="N98" s="150"/>
      <c r="O98" s="150"/>
      <c r="P98" s="150"/>
      <c r="Q98" s="150"/>
      <c r="R98" s="150"/>
      <c r="S98" s="150"/>
      <c r="T98" s="150"/>
      <c r="U98" s="150"/>
      <c r="V98" s="150"/>
      <c r="W98" s="150"/>
      <c r="X98" s="150"/>
      <c r="Y98" s="150"/>
      <c r="Z98" s="150"/>
      <c r="AA98" s="151"/>
    </row>
    <row r="99" spans="1:27" s="104" customFormat="1" ht="12.75" customHeight="1">
      <c r="A99" s="116" t="s">
        <v>116</v>
      </c>
      <c r="B99" s="117">
        <f>IRJ1_FR!B96</f>
        <v>25.1</v>
      </c>
      <c r="C99" s="119">
        <f>IRJ1_FR!C96</f>
        <v>23.400000000000002</v>
      </c>
      <c r="D99" s="117">
        <f>IRJ1_FR!D96</f>
        <v>11.399999999999991</v>
      </c>
      <c r="E99" s="119">
        <f>IRJ1_FR!E96</f>
        <v>9.5</v>
      </c>
      <c r="F99" s="117">
        <f>IRJ1_FR!F96</f>
        <v>0</v>
      </c>
      <c r="G99" s="119">
        <f>IRJ1_FR!G96</f>
        <v>0</v>
      </c>
      <c r="H99" s="117">
        <f>IRJ1_FR!H96</f>
        <v>85.2</v>
      </c>
      <c r="I99" s="119">
        <f>IRJ1_FR!I96</f>
        <v>85.2</v>
      </c>
      <c r="J99" s="117">
        <f>IRJ1_FR!J96</f>
        <v>19.699999999999989</v>
      </c>
      <c r="K99" s="119">
        <f>IRJ1_FR!K96</f>
        <v>0</v>
      </c>
      <c r="L99" s="117">
        <f>IRJ1_FR!L96</f>
        <v>10.699999999999989</v>
      </c>
      <c r="M99" s="119">
        <f>IRJ1_FR!M96</f>
        <v>16.599999999999994</v>
      </c>
      <c r="N99" s="117">
        <f>IRJ1_FR!N96</f>
        <v>55.099999999999994</v>
      </c>
      <c r="O99" s="119">
        <f>IRJ1_FR!O96</f>
        <v>67.199999999999989</v>
      </c>
      <c r="P99" s="117">
        <f>IRJ1_FR!P96</f>
        <v>42.199999999999996</v>
      </c>
      <c r="Q99" s="119">
        <f>IRJ1_FR!Q96</f>
        <v>42.199999999999996</v>
      </c>
      <c r="R99" s="117">
        <f>IRJ1_FR!R96</f>
        <v>2.0999999999999943</v>
      </c>
      <c r="S99" s="119">
        <f>IRJ1_FR!S96</f>
        <v>7.8999999999999915</v>
      </c>
      <c r="T99" s="117">
        <f>IRJ1_FR!T96</f>
        <v>22.5</v>
      </c>
      <c r="U99" s="119">
        <f>IRJ1_FR!U96</f>
        <v>18.799999999999997</v>
      </c>
      <c r="V99" s="117">
        <f>IRJ1_FR!V96</f>
        <v>14.599999999999994</v>
      </c>
      <c r="W99" s="119">
        <f>IRJ1_FR!W96</f>
        <v>23.299999999999997</v>
      </c>
      <c r="X99" s="117">
        <f>IRJ1_FR!X96</f>
        <v>37.799999999999997</v>
      </c>
      <c r="Y99" s="119">
        <f>IRJ1_FR!Y96</f>
        <v>15</v>
      </c>
      <c r="Z99" s="117">
        <f>IRJ1_FR!Z96</f>
        <v>24.700000000000003</v>
      </c>
      <c r="AA99" s="119">
        <f>IRJ1_FR!AA96</f>
        <v>19.799999999999997</v>
      </c>
    </row>
    <row r="100" spans="1:27" s="104" customFormat="1" ht="12.75" customHeight="1">
      <c r="A100" s="116" t="s">
        <v>117</v>
      </c>
      <c r="B100" s="117">
        <f>IRJ1_FR!B97</f>
        <v>72</v>
      </c>
      <c r="C100" s="119">
        <f>IRJ1_FR!C97</f>
        <v>70.2</v>
      </c>
      <c r="D100" s="117">
        <f>IRJ1_FR!D97</f>
        <v>82.100000000000009</v>
      </c>
      <c r="E100" s="119">
        <f>IRJ1_FR!E97</f>
        <v>81.600000000000009</v>
      </c>
      <c r="F100" s="117">
        <f>IRJ1_FR!F97</f>
        <v>100</v>
      </c>
      <c r="G100" s="119">
        <f>IRJ1_FR!G97</f>
        <v>100</v>
      </c>
      <c r="H100" s="117">
        <f>IRJ1_FR!H97</f>
        <v>6.9</v>
      </c>
      <c r="I100" s="119">
        <f>IRJ1_FR!I97</f>
        <v>6.9</v>
      </c>
      <c r="J100" s="117">
        <f>IRJ1_FR!J97</f>
        <v>80.300000000000011</v>
      </c>
      <c r="K100" s="119">
        <f>IRJ1_FR!K97</f>
        <v>85.2</v>
      </c>
      <c r="L100" s="117">
        <f>IRJ1_FR!L97</f>
        <v>84.5</v>
      </c>
      <c r="M100" s="119">
        <f>IRJ1_FR!M97</f>
        <v>78.600000000000009</v>
      </c>
      <c r="N100" s="117">
        <f>IRJ1_FR!N97</f>
        <v>44.900000000000006</v>
      </c>
      <c r="O100" s="119">
        <f>IRJ1_FR!O97</f>
        <v>32.800000000000004</v>
      </c>
      <c r="P100" s="117">
        <f>IRJ1_FR!P97</f>
        <v>57.800000000000004</v>
      </c>
      <c r="Q100" s="119">
        <f>IRJ1_FR!Q97</f>
        <v>57.800000000000004</v>
      </c>
      <c r="R100" s="117">
        <f>IRJ1_FR!R97</f>
        <v>95</v>
      </c>
      <c r="S100" s="119">
        <f>IRJ1_FR!S97</f>
        <v>89.2</v>
      </c>
      <c r="T100" s="117">
        <f>IRJ1_FR!T97</f>
        <v>75.5</v>
      </c>
      <c r="U100" s="119">
        <f>IRJ1_FR!U97</f>
        <v>72.5</v>
      </c>
      <c r="V100" s="117">
        <f>IRJ1_FR!V97</f>
        <v>85.4</v>
      </c>
      <c r="W100" s="119">
        <f>IRJ1_FR!W97</f>
        <v>76.7</v>
      </c>
      <c r="X100" s="117">
        <f>IRJ1_FR!X97</f>
        <v>62.2</v>
      </c>
      <c r="Y100" s="119">
        <f>IRJ1_FR!Y97</f>
        <v>63.7</v>
      </c>
      <c r="Z100" s="117">
        <f>IRJ1_FR!Z97</f>
        <v>56.800000000000004</v>
      </c>
      <c r="AA100" s="119">
        <f>IRJ1_FR!AA97</f>
        <v>80.2</v>
      </c>
    </row>
    <row r="101" spans="1:27" s="104" customFormat="1" ht="12.75" customHeight="1">
      <c r="A101" s="116" t="s">
        <v>118</v>
      </c>
      <c r="B101" s="117">
        <f>IRJ1_FR!B98</f>
        <v>2.9000000000000004</v>
      </c>
      <c r="C101" s="119">
        <f>IRJ1_FR!C98</f>
        <v>6.3000000000000007</v>
      </c>
      <c r="D101" s="117">
        <f>IRJ1_FR!D98</f>
        <v>6.5</v>
      </c>
      <c r="E101" s="119">
        <f>IRJ1_FR!E98</f>
        <v>8.9</v>
      </c>
      <c r="F101" s="117">
        <f>IRJ1_FR!F98</f>
        <v>0</v>
      </c>
      <c r="G101" s="119">
        <f>IRJ1_FR!G98</f>
        <v>0</v>
      </c>
      <c r="H101" s="117">
        <f>IRJ1_FR!H98</f>
        <v>7.9</v>
      </c>
      <c r="I101" s="119">
        <f>IRJ1_FR!I98</f>
        <v>7.9</v>
      </c>
      <c r="J101" s="117">
        <f>IRJ1_FR!J98</f>
        <v>0</v>
      </c>
      <c r="K101" s="119">
        <f>IRJ1_FR!K98</f>
        <v>14.8</v>
      </c>
      <c r="L101" s="117">
        <f>IRJ1_FR!L98</f>
        <v>4.8000000000000007</v>
      </c>
      <c r="M101" s="119">
        <f>IRJ1_FR!M98</f>
        <v>4.8000000000000007</v>
      </c>
      <c r="N101" s="117">
        <f>IRJ1_FR!N98</f>
        <v>0</v>
      </c>
      <c r="O101" s="119">
        <f>IRJ1_FR!O98</f>
        <v>0</v>
      </c>
      <c r="P101" s="117">
        <f>IRJ1_FR!P98</f>
        <v>0</v>
      </c>
      <c r="Q101" s="119">
        <f>IRJ1_FR!Q98</f>
        <v>0</v>
      </c>
      <c r="R101" s="117">
        <f>IRJ1_FR!R98</f>
        <v>2.9000000000000004</v>
      </c>
      <c r="S101" s="119">
        <f>IRJ1_FR!S98</f>
        <v>2.9000000000000004</v>
      </c>
      <c r="T101" s="117">
        <f>IRJ1_FR!T98</f>
        <v>2</v>
      </c>
      <c r="U101" s="119">
        <f>IRJ1_FR!U98</f>
        <v>8.7000000000000011</v>
      </c>
      <c r="V101" s="117">
        <f>IRJ1_FR!V98</f>
        <v>0</v>
      </c>
      <c r="W101" s="119">
        <f>IRJ1_FR!W98</f>
        <v>0</v>
      </c>
      <c r="X101" s="117">
        <f>IRJ1_FR!X98</f>
        <v>0</v>
      </c>
      <c r="Y101" s="119">
        <f>IRJ1_FR!Y98</f>
        <v>21.3</v>
      </c>
      <c r="Z101" s="117">
        <f>IRJ1_FR!Z98</f>
        <v>18.5</v>
      </c>
      <c r="AA101" s="119">
        <f>IRJ1_FR!AA98</f>
        <v>0</v>
      </c>
    </row>
    <row r="102" spans="1:27" s="104" customFormat="1" ht="11.45" customHeight="1">
      <c r="A102" s="134"/>
      <c r="B102" s="117"/>
      <c r="C102" s="150"/>
      <c r="D102" s="150"/>
      <c r="E102" s="150"/>
      <c r="F102" s="150"/>
      <c r="G102" s="150"/>
      <c r="H102" s="150"/>
      <c r="I102" s="150"/>
      <c r="J102" s="150"/>
      <c r="K102" s="150"/>
      <c r="L102" s="150"/>
      <c r="M102" s="150"/>
      <c r="N102" s="150"/>
      <c r="O102" s="150"/>
      <c r="P102" s="150"/>
      <c r="Q102" s="150"/>
      <c r="R102" s="150"/>
      <c r="S102" s="150">
        <v>0</v>
      </c>
      <c r="T102" s="150"/>
      <c r="U102" s="150"/>
      <c r="V102" s="150"/>
      <c r="W102" s="150"/>
      <c r="X102" s="150"/>
      <c r="Y102" s="150"/>
      <c r="Z102" s="150"/>
      <c r="AA102" s="151"/>
    </row>
    <row r="103" spans="1:27" s="104" customFormat="1" ht="15.75">
      <c r="A103" s="146" t="s">
        <v>123</v>
      </c>
      <c r="B103" s="129"/>
      <c r="C103" s="129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29"/>
      <c r="AA103" s="152"/>
    </row>
    <row r="104" spans="1:27" s="104" customFormat="1" ht="9" customHeight="1">
      <c r="A104" s="134"/>
      <c r="B104" s="117"/>
      <c r="C104" s="150"/>
      <c r="D104" s="150"/>
      <c r="E104" s="150"/>
      <c r="F104" s="150"/>
      <c r="G104" s="150"/>
      <c r="H104" s="150"/>
      <c r="I104" s="150"/>
      <c r="J104" s="150"/>
      <c r="K104" s="150"/>
      <c r="L104" s="150"/>
      <c r="M104" s="150"/>
      <c r="N104" s="150"/>
      <c r="O104" s="150"/>
      <c r="P104" s="150"/>
      <c r="Q104" s="150"/>
      <c r="R104" s="150"/>
      <c r="S104" s="150"/>
      <c r="T104" s="150"/>
      <c r="U104" s="150"/>
      <c r="V104" s="150"/>
      <c r="W104" s="150"/>
      <c r="X104" s="150"/>
      <c r="Y104" s="150"/>
      <c r="Z104" s="150"/>
      <c r="AA104" s="151"/>
    </row>
    <row r="105" spans="1:27" s="104" customFormat="1" ht="12.75" customHeight="1">
      <c r="A105" s="116" t="s">
        <v>138</v>
      </c>
      <c r="B105" s="153">
        <f>IRJ1_FR!B102</f>
        <v>5.2</v>
      </c>
      <c r="C105" s="154">
        <f>IRJ1_FR!C102</f>
        <v>5.2</v>
      </c>
      <c r="D105" s="153">
        <f>IRJ1_FR!D102</f>
        <v>6.9</v>
      </c>
      <c r="E105" s="154">
        <f>IRJ1_FR!E102</f>
        <v>6.9</v>
      </c>
      <c r="F105" s="153">
        <f>IRJ1_FR!F102</f>
        <v>12</v>
      </c>
      <c r="G105" s="154">
        <f>IRJ1_FR!G102</f>
        <v>12</v>
      </c>
      <c r="H105" s="153">
        <f>IRJ1_FR!H102</f>
        <v>1.7000000000000002</v>
      </c>
      <c r="I105" s="154">
        <f>IRJ1_FR!I102</f>
        <v>3.4000000000000004</v>
      </c>
      <c r="J105" s="153">
        <f>IRJ1_FR!J102</f>
        <v>2.7</v>
      </c>
      <c r="K105" s="154">
        <f>IRJ1_FR!K102</f>
        <v>3.2</v>
      </c>
      <c r="L105" s="153">
        <f>IRJ1_FR!L102</f>
        <v>4.1000000000000005</v>
      </c>
      <c r="M105" s="154">
        <f>IRJ1_FR!M102</f>
        <v>3.7</v>
      </c>
      <c r="N105" s="153">
        <f>IRJ1_FR!N102</f>
        <v>4.7</v>
      </c>
      <c r="O105" s="154">
        <f>IRJ1_FR!O102</f>
        <v>4.4000000000000004</v>
      </c>
      <c r="P105" s="153">
        <f>IRJ1_FR!P102</f>
        <v>7.2</v>
      </c>
      <c r="Q105" s="154">
        <f>IRJ1_FR!Q102</f>
        <v>7.4</v>
      </c>
      <c r="R105" s="153">
        <f>IRJ1_FR!R102</f>
        <v>2.1</v>
      </c>
      <c r="S105" s="154">
        <f>IRJ1_FR!S102</f>
        <v>2.1</v>
      </c>
      <c r="T105" s="153">
        <f>IRJ1_FR!T102</f>
        <v>4</v>
      </c>
      <c r="U105" s="154">
        <f>IRJ1_FR!U102</f>
        <v>4.2</v>
      </c>
      <c r="V105" s="153">
        <f>IRJ1_FR!V102</f>
        <v>7.3000000000000007</v>
      </c>
      <c r="W105" s="154">
        <f>IRJ1_FR!W102</f>
        <v>9.3000000000000007</v>
      </c>
      <c r="X105" s="153">
        <f>IRJ1_FR!X102</f>
        <v>5.9</v>
      </c>
      <c r="Y105" s="154">
        <f>IRJ1_FR!Y102</f>
        <v>4.9000000000000004</v>
      </c>
      <c r="Z105" s="153">
        <f>IRJ1_FR!Z102</f>
        <v>5.6000000000000005</v>
      </c>
      <c r="AA105" s="154">
        <f>IRJ1_FR!AA102</f>
        <v>5.7</v>
      </c>
    </row>
    <row r="106" spans="1:27" s="104" customFormat="1" ht="11.45" customHeight="1">
      <c r="A106" s="134"/>
      <c r="B106" s="117"/>
      <c r="C106" s="150"/>
      <c r="D106" s="150"/>
      <c r="E106" s="150"/>
      <c r="F106" s="150"/>
      <c r="G106" s="150"/>
      <c r="H106" s="150"/>
      <c r="I106" s="150"/>
      <c r="J106" s="150"/>
      <c r="K106" s="150"/>
      <c r="L106" s="150"/>
      <c r="M106" s="150"/>
      <c r="N106" s="150"/>
      <c r="O106" s="150"/>
      <c r="P106" s="150"/>
      <c r="Q106" s="150"/>
      <c r="R106" s="150"/>
      <c r="S106" s="150"/>
      <c r="T106" s="150"/>
      <c r="U106" s="150"/>
      <c r="V106" s="150"/>
      <c r="W106" s="150"/>
      <c r="X106" s="150"/>
      <c r="Y106" s="150"/>
      <c r="Z106" s="150"/>
      <c r="AA106" s="151"/>
    </row>
    <row r="107" spans="1:27" s="104" customFormat="1" ht="15.75">
      <c r="A107" s="146" t="s">
        <v>124</v>
      </c>
      <c r="B107" s="129"/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  <c r="AA107" s="152"/>
    </row>
    <row r="108" spans="1:27" s="104" customFormat="1" ht="9" customHeight="1">
      <c r="A108" s="134"/>
      <c r="B108" s="117"/>
      <c r="C108" s="150"/>
      <c r="D108" s="150"/>
      <c r="E108" s="150"/>
      <c r="F108" s="150"/>
      <c r="G108" s="150"/>
      <c r="H108" s="150"/>
      <c r="I108" s="150"/>
      <c r="J108" s="150"/>
      <c r="K108" s="150"/>
      <c r="L108" s="150"/>
      <c r="M108" s="150"/>
      <c r="N108" s="150"/>
      <c r="O108" s="150"/>
      <c r="P108" s="150"/>
      <c r="Q108" s="150"/>
      <c r="R108" s="150"/>
      <c r="S108" s="150"/>
      <c r="T108" s="150"/>
      <c r="U108" s="150"/>
      <c r="V108" s="150"/>
      <c r="W108" s="150"/>
      <c r="X108" s="150"/>
      <c r="Y108" s="150"/>
      <c r="Z108" s="150"/>
      <c r="AA108" s="151"/>
    </row>
    <row r="109" spans="1:27" s="104" customFormat="1" ht="12.75" customHeight="1">
      <c r="A109" s="116" t="s">
        <v>135</v>
      </c>
      <c r="B109" s="117">
        <f>IRJ1_FR!B106</f>
        <v>14.5</v>
      </c>
      <c r="C109" s="119">
        <f>IRJ1_FR!C106</f>
        <v>15.3</v>
      </c>
      <c r="D109" s="117">
        <f>IRJ1_FR!D106</f>
        <v>8.7999999999999972</v>
      </c>
      <c r="E109" s="119">
        <f>IRJ1_FR!E106</f>
        <v>7.8999999999999915</v>
      </c>
      <c r="F109" s="117">
        <f>IRJ1_FR!F106</f>
        <v>1.8999999999999915</v>
      </c>
      <c r="G109" s="119">
        <f>IRJ1_FR!G106</f>
        <v>0</v>
      </c>
      <c r="H109" s="117">
        <f>IRJ1_FR!H106</f>
        <v>3.5999999999999943</v>
      </c>
      <c r="I109" s="119">
        <f>IRJ1_FR!I106</f>
        <v>3.5999999999999943</v>
      </c>
      <c r="J109" s="117">
        <f>IRJ1_FR!J106</f>
        <v>0</v>
      </c>
      <c r="K109" s="119">
        <f>IRJ1_FR!K106</f>
        <v>11.799999999999997</v>
      </c>
      <c r="L109" s="117">
        <f>IRJ1_FR!L106</f>
        <v>16.599999999999994</v>
      </c>
      <c r="M109" s="119">
        <f>IRJ1_FR!M106</f>
        <v>4.6999999999999886</v>
      </c>
      <c r="N109" s="117">
        <f>IRJ1_FR!N106</f>
        <v>0</v>
      </c>
      <c r="O109" s="119">
        <f>IRJ1_FR!O106</f>
        <v>0</v>
      </c>
      <c r="P109" s="117">
        <f>IRJ1_FR!P106</f>
        <v>69.3</v>
      </c>
      <c r="Q109" s="119">
        <f>IRJ1_FR!Q106</f>
        <v>73.3</v>
      </c>
      <c r="R109" s="117">
        <f>IRJ1_FR!R106</f>
        <v>9.5999999999999943</v>
      </c>
      <c r="S109" s="119">
        <f>IRJ1_FR!S106</f>
        <v>6.0999999999999943</v>
      </c>
      <c r="T109" s="117">
        <f>IRJ1_FR!T106</f>
        <v>0</v>
      </c>
      <c r="U109" s="119">
        <f>IRJ1_FR!U106</f>
        <v>3</v>
      </c>
      <c r="V109" s="117">
        <f>IRJ1_FR!V106</f>
        <v>19.799999999999997</v>
      </c>
      <c r="W109" s="119">
        <f>IRJ1_FR!W106</f>
        <v>44.4</v>
      </c>
      <c r="X109" s="117">
        <f>IRJ1_FR!X106</f>
        <v>35.899999999999991</v>
      </c>
      <c r="Y109" s="119">
        <f>IRJ1_FR!Y106</f>
        <v>40.599999999999994</v>
      </c>
      <c r="Z109" s="117">
        <f>IRJ1_FR!Z106</f>
        <v>0</v>
      </c>
      <c r="AA109" s="119">
        <f>IRJ1_FR!AA106</f>
        <v>0</v>
      </c>
    </row>
    <row r="110" spans="1:27" s="104" customFormat="1" ht="12.75" customHeight="1">
      <c r="A110" s="116" t="s">
        <v>136</v>
      </c>
      <c r="B110" s="117">
        <f>IRJ1_FR!B107</f>
        <v>62.7</v>
      </c>
      <c r="C110" s="119">
        <f>IRJ1_FR!C107</f>
        <v>45.2</v>
      </c>
      <c r="D110" s="117">
        <f>IRJ1_FR!D107</f>
        <v>84</v>
      </c>
      <c r="E110" s="119">
        <f>IRJ1_FR!E107</f>
        <v>70.100000000000009</v>
      </c>
      <c r="F110" s="117">
        <f>IRJ1_FR!F107</f>
        <v>98.100000000000009</v>
      </c>
      <c r="G110" s="119">
        <f>IRJ1_FR!G107</f>
        <v>98.100000000000009</v>
      </c>
      <c r="H110" s="117">
        <f>IRJ1_FR!H107</f>
        <v>5.8000000000000007</v>
      </c>
      <c r="I110" s="119">
        <f>IRJ1_FR!I107</f>
        <v>11.200000000000001</v>
      </c>
      <c r="J110" s="117">
        <f>IRJ1_FR!J107</f>
        <v>100</v>
      </c>
      <c r="K110" s="119">
        <f>IRJ1_FR!K107</f>
        <v>18.400000000000002</v>
      </c>
      <c r="L110" s="117">
        <f>IRJ1_FR!L107</f>
        <v>52.5</v>
      </c>
      <c r="M110" s="119">
        <f>IRJ1_FR!M107</f>
        <v>65.600000000000009</v>
      </c>
      <c r="N110" s="117">
        <f>IRJ1_FR!N107</f>
        <v>60.1</v>
      </c>
      <c r="O110" s="119">
        <f>IRJ1_FR!O107</f>
        <v>60.1</v>
      </c>
      <c r="P110" s="117">
        <f>IRJ1_FR!P107</f>
        <v>27.700000000000003</v>
      </c>
      <c r="Q110" s="119">
        <f>IRJ1_FR!Q107</f>
        <v>23.700000000000003</v>
      </c>
      <c r="R110" s="117">
        <f>IRJ1_FR!R107</f>
        <v>87.5</v>
      </c>
      <c r="S110" s="119">
        <f>IRJ1_FR!S107</f>
        <v>5.8000000000000007</v>
      </c>
      <c r="T110" s="117">
        <f>IRJ1_FR!T107</f>
        <v>69.3</v>
      </c>
      <c r="U110" s="119">
        <f>IRJ1_FR!U107</f>
        <v>60.400000000000006</v>
      </c>
      <c r="V110" s="117">
        <f>IRJ1_FR!V107</f>
        <v>80.2</v>
      </c>
      <c r="W110" s="119">
        <f>IRJ1_FR!W107</f>
        <v>46.900000000000006</v>
      </c>
      <c r="X110" s="117">
        <f>IRJ1_FR!X107</f>
        <v>10.8</v>
      </c>
      <c r="Y110" s="119">
        <f>IRJ1_FR!Y107</f>
        <v>41.400000000000006</v>
      </c>
      <c r="Z110" s="117">
        <f>IRJ1_FR!Z107</f>
        <v>96.9</v>
      </c>
      <c r="AA110" s="119">
        <f>IRJ1_FR!AA107</f>
        <v>90.2</v>
      </c>
    </row>
    <row r="111" spans="1:27" s="104" customFormat="1" ht="12.75" customHeight="1">
      <c r="A111" s="116" t="s">
        <v>137</v>
      </c>
      <c r="B111" s="117">
        <f>IRJ1_FR!B108</f>
        <v>22.700000000000003</v>
      </c>
      <c r="C111" s="119">
        <f>IRJ1_FR!C108</f>
        <v>39.5</v>
      </c>
      <c r="D111" s="117">
        <f>IRJ1_FR!D108</f>
        <v>7.2</v>
      </c>
      <c r="E111" s="119">
        <f>IRJ1_FR!E108</f>
        <v>22</v>
      </c>
      <c r="F111" s="117">
        <f>IRJ1_FR!F108</f>
        <v>0</v>
      </c>
      <c r="G111" s="119">
        <f>IRJ1_FR!G108</f>
        <v>1.9000000000000001</v>
      </c>
      <c r="H111" s="117">
        <f>IRJ1_FR!H108</f>
        <v>90.600000000000009</v>
      </c>
      <c r="I111" s="119">
        <f>IRJ1_FR!I108</f>
        <v>85.2</v>
      </c>
      <c r="J111" s="117">
        <f>IRJ1_FR!J108</f>
        <v>0</v>
      </c>
      <c r="K111" s="119">
        <f>IRJ1_FR!K108</f>
        <v>69.8</v>
      </c>
      <c r="L111" s="117">
        <f>IRJ1_FR!L108</f>
        <v>30.900000000000002</v>
      </c>
      <c r="M111" s="119">
        <f>IRJ1_FR!M108</f>
        <v>29.700000000000003</v>
      </c>
      <c r="N111" s="117">
        <f>IRJ1_FR!N108</f>
        <v>39.900000000000006</v>
      </c>
      <c r="O111" s="119">
        <f>IRJ1_FR!O108</f>
        <v>39.900000000000006</v>
      </c>
      <c r="P111" s="117">
        <f>IRJ1_FR!P108</f>
        <v>3</v>
      </c>
      <c r="Q111" s="119">
        <f>IRJ1_FR!Q108</f>
        <v>3</v>
      </c>
      <c r="R111" s="117">
        <f>IRJ1_FR!R108</f>
        <v>2.9000000000000004</v>
      </c>
      <c r="S111" s="119">
        <f>IRJ1_FR!S108</f>
        <v>88.100000000000009</v>
      </c>
      <c r="T111" s="117">
        <f>IRJ1_FR!T108</f>
        <v>30.700000000000003</v>
      </c>
      <c r="U111" s="119">
        <f>IRJ1_FR!U108</f>
        <v>36.6</v>
      </c>
      <c r="V111" s="117">
        <f>IRJ1_FR!V108</f>
        <v>0</v>
      </c>
      <c r="W111" s="119">
        <f>IRJ1_FR!W108</f>
        <v>8.7000000000000011</v>
      </c>
      <c r="X111" s="117">
        <f>IRJ1_FR!X108</f>
        <v>53.300000000000004</v>
      </c>
      <c r="Y111" s="119">
        <f>IRJ1_FR!Y108</f>
        <v>18</v>
      </c>
      <c r="Z111" s="117">
        <f>IRJ1_FR!Z108</f>
        <v>3.1</v>
      </c>
      <c r="AA111" s="119">
        <f>IRJ1_FR!AA108</f>
        <v>9.8000000000000007</v>
      </c>
    </row>
    <row r="112" spans="1:27" s="104" customFormat="1" ht="11.45" customHeight="1">
      <c r="A112" s="134"/>
      <c r="B112" s="117"/>
      <c r="C112" s="150"/>
      <c r="D112" s="150"/>
      <c r="E112" s="150"/>
      <c r="F112" s="150"/>
      <c r="G112" s="150"/>
      <c r="H112" s="150"/>
      <c r="I112" s="150"/>
      <c r="J112" s="150"/>
      <c r="K112" s="150"/>
      <c r="L112" s="150"/>
      <c r="M112" s="150"/>
      <c r="N112" s="150"/>
      <c r="O112" s="150"/>
      <c r="P112" s="150"/>
      <c r="Q112" s="150"/>
      <c r="R112" s="150"/>
      <c r="S112" s="150"/>
      <c r="T112" s="150"/>
      <c r="U112" s="150"/>
      <c r="V112" s="150"/>
      <c r="W112" s="150"/>
      <c r="X112" s="150"/>
      <c r="Y112" s="150"/>
      <c r="Z112" s="150"/>
      <c r="AA112" s="151"/>
    </row>
    <row r="113" spans="1:27" s="104" customFormat="1" ht="15.75">
      <c r="A113" s="146" t="s">
        <v>125</v>
      </c>
      <c r="B113" s="129"/>
      <c r="C113" s="129"/>
      <c r="D113" s="129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  <c r="R113" s="129"/>
      <c r="S113" s="129"/>
      <c r="T113" s="129"/>
      <c r="U113" s="129"/>
      <c r="V113" s="129"/>
      <c r="W113" s="129"/>
      <c r="X113" s="129"/>
      <c r="Y113" s="129"/>
      <c r="Z113" s="129"/>
      <c r="AA113" s="152"/>
    </row>
    <row r="114" spans="1:27" s="104" customFormat="1" ht="9" customHeight="1">
      <c r="A114" s="134"/>
      <c r="B114" s="117"/>
      <c r="C114" s="150"/>
      <c r="D114" s="150"/>
      <c r="E114" s="150"/>
      <c r="F114" s="150"/>
      <c r="G114" s="150"/>
      <c r="H114" s="150"/>
      <c r="I114" s="150"/>
      <c r="J114" s="150"/>
      <c r="K114" s="150"/>
      <c r="L114" s="150"/>
      <c r="M114" s="150"/>
      <c r="N114" s="150"/>
      <c r="O114" s="150"/>
      <c r="P114" s="150"/>
      <c r="Q114" s="150"/>
      <c r="R114" s="150"/>
      <c r="S114" s="150"/>
      <c r="T114" s="150"/>
      <c r="U114" s="150"/>
      <c r="V114" s="150"/>
      <c r="W114" s="150"/>
      <c r="X114" s="150"/>
      <c r="Y114" s="150"/>
      <c r="Z114" s="150"/>
      <c r="AA114" s="151"/>
    </row>
    <row r="115" spans="1:27" s="104" customFormat="1" ht="12.75" customHeight="1">
      <c r="A115" s="116" t="s">
        <v>135</v>
      </c>
      <c r="B115" s="117">
        <f>IRJ1_FR!B112</f>
        <v>8.9</v>
      </c>
      <c r="C115" s="119">
        <f>IRJ1_FR!C112</f>
        <v>9.6000000000000014</v>
      </c>
      <c r="D115" s="117">
        <f>IRJ1_FR!D112</f>
        <v>39.699999999999996</v>
      </c>
      <c r="E115" s="119">
        <f>IRJ1_FR!E112</f>
        <v>0</v>
      </c>
      <c r="F115" s="117">
        <f>IRJ1_FR!F112</f>
        <v>3.8999999999999915</v>
      </c>
      <c r="G115" s="119">
        <f>IRJ1_FR!G112</f>
        <v>0</v>
      </c>
      <c r="H115" s="117">
        <f>IRJ1_FR!H112</f>
        <v>15.199999999999989</v>
      </c>
      <c r="I115" s="119">
        <f>IRJ1_FR!I112</f>
        <v>75.5</v>
      </c>
      <c r="J115" s="117">
        <f>IRJ1_FR!J112</f>
        <v>0</v>
      </c>
      <c r="K115" s="119">
        <f>IRJ1_FR!K112</f>
        <v>0</v>
      </c>
      <c r="L115" s="117">
        <f>IRJ1_FR!L112</f>
        <v>0</v>
      </c>
      <c r="M115" s="119">
        <f>IRJ1_FR!M112</f>
        <v>6.7999999999999972</v>
      </c>
      <c r="N115" s="117">
        <f>IRJ1_FR!N112</f>
        <v>0</v>
      </c>
      <c r="O115" s="119">
        <f>IRJ1_FR!O112</f>
        <v>0</v>
      </c>
      <c r="P115" s="117">
        <f>IRJ1_FR!P112</f>
        <v>96.7</v>
      </c>
      <c r="Q115" s="119">
        <f>IRJ1_FR!Q112</f>
        <v>96.7</v>
      </c>
      <c r="R115" s="117">
        <f>IRJ1_FR!R112</f>
        <v>8</v>
      </c>
      <c r="S115" s="119">
        <f>IRJ1_FR!S112</f>
        <v>8</v>
      </c>
      <c r="T115" s="117">
        <f>IRJ1_FR!T112</f>
        <v>0</v>
      </c>
      <c r="U115" s="119">
        <f>IRJ1_FR!U112</f>
        <v>0</v>
      </c>
      <c r="V115" s="117">
        <f>IRJ1_FR!V112</f>
        <v>5.0999999999999943</v>
      </c>
      <c r="W115" s="119">
        <f>IRJ1_FR!W112</f>
        <v>5.0999999999999943</v>
      </c>
      <c r="X115" s="117">
        <f>IRJ1_FR!X112</f>
        <v>0</v>
      </c>
      <c r="Y115" s="119">
        <f>IRJ1_FR!Y112</f>
        <v>59.3</v>
      </c>
      <c r="Z115" s="117">
        <f>IRJ1_FR!Z112</f>
        <v>0</v>
      </c>
      <c r="AA115" s="119">
        <f>IRJ1_FR!AA112</f>
        <v>0</v>
      </c>
    </row>
    <row r="116" spans="1:27" s="104" customFormat="1" ht="12.75" customHeight="1">
      <c r="A116" s="116" t="s">
        <v>136</v>
      </c>
      <c r="B116" s="117">
        <f>IRJ1_FR!B113</f>
        <v>18.5</v>
      </c>
      <c r="C116" s="119">
        <f>IRJ1_FR!C113</f>
        <v>19</v>
      </c>
      <c r="D116" s="117">
        <f>IRJ1_FR!D113</f>
        <v>59.800000000000004</v>
      </c>
      <c r="E116" s="119">
        <f>IRJ1_FR!E113</f>
        <v>95.100000000000009</v>
      </c>
      <c r="F116" s="117">
        <f>IRJ1_FR!F113</f>
        <v>96.100000000000009</v>
      </c>
      <c r="G116" s="119">
        <f>IRJ1_FR!G113</f>
        <v>96.100000000000009</v>
      </c>
      <c r="H116" s="117">
        <f>IRJ1_FR!H113</f>
        <v>24.5</v>
      </c>
      <c r="I116" s="119">
        <f>IRJ1_FR!I113</f>
        <v>24.5</v>
      </c>
      <c r="J116" s="117">
        <f>IRJ1_FR!J113</f>
        <v>100</v>
      </c>
      <c r="K116" s="119">
        <f>IRJ1_FR!K113</f>
        <v>5.8000000000000007</v>
      </c>
      <c r="L116" s="117">
        <f>IRJ1_FR!L113</f>
        <v>47</v>
      </c>
      <c r="M116" s="119">
        <f>IRJ1_FR!M113</f>
        <v>93.2</v>
      </c>
      <c r="N116" s="117">
        <f>IRJ1_FR!N113</f>
        <v>0.5</v>
      </c>
      <c r="O116" s="119">
        <f>IRJ1_FR!O113</f>
        <v>0.60000000000000009</v>
      </c>
      <c r="P116" s="117">
        <f>IRJ1_FR!P113</f>
        <v>3.3000000000000003</v>
      </c>
      <c r="Q116" s="119">
        <f>IRJ1_FR!Q113</f>
        <v>3.3000000000000003</v>
      </c>
      <c r="R116" s="117">
        <f>IRJ1_FR!R113</f>
        <v>7.4</v>
      </c>
      <c r="S116" s="119">
        <f>IRJ1_FR!S113</f>
        <v>7.4</v>
      </c>
      <c r="T116" s="117">
        <f>IRJ1_FR!T113</f>
        <v>51.900000000000006</v>
      </c>
      <c r="U116" s="119">
        <f>IRJ1_FR!U113</f>
        <v>51.300000000000004</v>
      </c>
      <c r="V116" s="117">
        <f>IRJ1_FR!V113</f>
        <v>94.9</v>
      </c>
      <c r="W116" s="119">
        <f>IRJ1_FR!W113</f>
        <v>94.9</v>
      </c>
      <c r="X116" s="117">
        <f>IRJ1_FR!X113</f>
        <v>48.800000000000004</v>
      </c>
      <c r="Y116" s="119">
        <f>IRJ1_FR!Y113</f>
        <v>11.8</v>
      </c>
      <c r="Z116" s="117">
        <f>IRJ1_FR!Z113</f>
        <v>54.7</v>
      </c>
      <c r="AA116" s="119">
        <f>IRJ1_FR!AA113</f>
        <v>45.7</v>
      </c>
    </row>
    <row r="117" spans="1:27" s="104" customFormat="1" ht="12.75" customHeight="1">
      <c r="A117" s="116" t="s">
        <v>137</v>
      </c>
      <c r="B117" s="117">
        <f>IRJ1_FR!B114</f>
        <v>72.600000000000009</v>
      </c>
      <c r="C117" s="119">
        <f>IRJ1_FR!C114</f>
        <v>71.400000000000006</v>
      </c>
      <c r="D117" s="117">
        <f>IRJ1_FR!D114</f>
        <v>0.5</v>
      </c>
      <c r="E117" s="119">
        <f>IRJ1_FR!E114</f>
        <v>4.9000000000000004</v>
      </c>
      <c r="F117" s="117">
        <f>IRJ1_FR!F114</f>
        <v>0</v>
      </c>
      <c r="G117" s="119">
        <f>IRJ1_FR!G114</f>
        <v>3.9000000000000004</v>
      </c>
      <c r="H117" s="117">
        <f>IRJ1_FR!H114</f>
        <v>60.300000000000004</v>
      </c>
      <c r="I117" s="119">
        <f>IRJ1_FR!I114</f>
        <v>0</v>
      </c>
      <c r="J117" s="117">
        <f>IRJ1_FR!J114</f>
        <v>0</v>
      </c>
      <c r="K117" s="119">
        <f>IRJ1_FR!K114</f>
        <v>94.2</v>
      </c>
      <c r="L117" s="117">
        <f>IRJ1_FR!L114</f>
        <v>53</v>
      </c>
      <c r="M117" s="119">
        <f>IRJ1_FR!M114</f>
        <v>0</v>
      </c>
      <c r="N117" s="117">
        <f>IRJ1_FR!N114</f>
        <v>99.5</v>
      </c>
      <c r="O117" s="119">
        <f>IRJ1_FR!O114</f>
        <v>99.4</v>
      </c>
      <c r="P117" s="117">
        <f>IRJ1_FR!P114</f>
        <v>0</v>
      </c>
      <c r="Q117" s="119">
        <f>IRJ1_FR!Q114</f>
        <v>0</v>
      </c>
      <c r="R117" s="117">
        <f>IRJ1_FR!R114</f>
        <v>84.600000000000009</v>
      </c>
      <c r="S117" s="119">
        <f>IRJ1_FR!S114</f>
        <v>84.600000000000009</v>
      </c>
      <c r="T117" s="117">
        <f>IRJ1_FR!T114</f>
        <v>48.1</v>
      </c>
      <c r="U117" s="119">
        <f>IRJ1_FR!U114</f>
        <v>48.7</v>
      </c>
      <c r="V117" s="117">
        <f>IRJ1_FR!V114</f>
        <v>0</v>
      </c>
      <c r="W117" s="119">
        <f>IRJ1_FR!W114</f>
        <v>0</v>
      </c>
      <c r="X117" s="117">
        <f>IRJ1_FR!X114</f>
        <v>51.2</v>
      </c>
      <c r="Y117" s="119">
        <f>IRJ1_FR!Y114</f>
        <v>28.900000000000002</v>
      </c>
      <c r="Z117" s="117">
        <f>IRJ1_FR!Z114</f>
        <v>45.300000000000004</v>
      </c>
      <c r="AA117" s="119">
        <f>IRJ1_FR!AA114</f>
        <v>54.300000000000004</v>
      </c>
    </row>
    <row r="118" spans="1:27" s="104" customFormat="1" ht="11.45" customHeight="1">
      <c r="A118" s="155"/>
      <c r="B118" s="117"/>
      <c r="C118" s="150"/>
      <c r="D118" s="150"/>
      <c r="E118" s="150"/>
      <c r="F118" s="150"/>
      <c r="G118" s="150"/>
      <c r="H118" s="150"/>
      <c r="I118" s="150"/>
      <c r="J118" s="150"/>
      <c r="K118" s="150"/>
      <c r="L118" s="150"/>
      <c r="M118" s="150"/>
      <c r="N118" s="150"/>
      <c r="O118" s="150"/>
      <c r="P118" s="150"/>
      <c r="Q118" s="150"/>
      <c r="R118" s="150"/>
      <c r="S118" s="150"/>
      <c r="T118" s="150"/>
      <c r="U118" s="150"/>
      <c r="V118" s="150"/>
      <c r="W118" s="150"/>
      <c r="X118" s="150"/>
      <c r="Y118" s="150"/>
      <c r="Z118" s="150"/>
      <c r="AA118" s="151"/>
    </row>
    <row r="119" spans="1:27" s="104" customFormat="1" ht="15.75">
      <c r="A119" s="146" t="s">
        <v>126</v>
      </c>
      <c r="B119" s="129"/>
      <c r="C119" s="129"/>
      <c r="D119" s="129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  <c r="R119" s="129"/>
      <c r="S119" s="129"/>
      <c r="T119" s="129"/>
      <c r="U119" s="129"/>
      <c r="V119" s="129"/>
      <c r="W119" s="129"/>
      <c r="X119" s="129"/>
      <c r="Y119" s="129"/>
      <c r="Z119" s="129"/>
      <c r="AA119" s="152"/>
    </row>
    <row r="120" spans="1:27" s="104" customFormat="1" ht="9" customHeight="1">
      <c r="A120" s="134"/>
      <c r="B120" s="117"/>
      <c r="C120" s="150"/>
      <c r="D120" s="150"/>
      <c r="E120" s="150"/>
      <c r="F120" s="150"/>
      <c r="G120" s="150"/>
      <c r="H120" s="150"/>
      <c r="I120" s="150"/>
      <c r="J120" s="150"/>
      <c r="K120" s="150"/>
      <c r="L120" s="150"/>
      <c r="M120" s="150"/>
      <c r="N120" s="150"/>
      <c r="O120" s="150"/>
      <c r="P120" s="150"/>
      <c r="Q120" s="150"/>
      <c r="R120" s="150"/>
      <c r="S120" s="150"/>
      <c r="T120" s="150"/>
      <c r="U120" s="150"/>
      <c r="V120" s="150"/>
      <c r="W120" s="150"/>
      <c r="X120" s="150"/>
      <c r="Y120" s="150"/>
      <c r="Z120" s="150"/>
      <c r="AA120" s="151"/>
    </row>
    <row r="121" spans="1:27" s="104" customFormat="1" ht="12.75" customHeight="1">
      <c r="A121" s="116" t="s">
        <v>139</v>
      </c>
      <c r="B121" s="117">
        <f>IRJ1_FR!B118</f>
        <v>80.300000000000011</v>
      </c>
      <c r="C121" s="119">
        <f>IRJ1_FR!C118</f>
        <v>79.100000000000009</v>
      </c>
      <c r="D121" s="117">
        <f>IRJ1_FR!D118</f>
        <v>82.100000000000009</v>
      </c>
      <c r="E121" s="119">
        <f>IRJ1_FR!E118</f>
        <v>78.2</v>
      </c>
      <c r="F121" s="117">
        <f>IRJ1_FR!F118</f>
        <v>85</v>
      </c>
      <c r="G121" s="119">
        <f>IRJ1_FR!G118</f>
        <v>80</v>
      </c>
      <c r="H121" s="117">
        <f>IRJ1_FR!H118</f>
        <v>71.100000000000009</v>
      </c>
      <c r="I121" s="119">
        <f>IRJ1_FR!I118</f>
        <v>66.600000000000009</v>
      </c>
      <c r="J121" s="117">
        <f>IRJ1_FR!J118</f>
        <v>86.800000000000011</v>
      </c>
      <c r="K121" s="119">
        <f>IRJ1_FR!K118</f>
        <v>81.2</v>
      </c>
      <c r="L121" s="117">
        <f>IRJ1_FR!L118</f>
        <v>77.400000000000006</v>
      </c>
      <c r="M121" s="119">
        <f>IRJ1_FR!M118</f>
        <v>82.5</v>
      </c>
      <c r="N121" s="117">
        <f>IRJ1_FR!N118</f>
        <v>78</v>
      </c>
      <c r="O121" s="119">
        <f>IRJ1_FR!O118</f>
        <v>80.7</v>
      </c>
      <c r="P121" s="117">
        <f>IRJ1_FR!P118</f>
        <v>71.5</v>
      </c>
      <c r="Q121" s="119">
        <f>IRJ1_FR!Q118</f>
        <v>71.2</v>
      </c>
      <c r="R121" s="117">
        <f>IRJ1_FR!R118</f>
        <v>97</v>
      </c>
      <c r="S121" s="119">
        <f>IRJ1_FR!S118</f>
        <v>92.9</v>
      </c>
      <c r="T121" s="117">
        <f>IRJ1_FR!T118</f>
        <v>75</v>
      </c>
      <c r="U121" s="119">
        <f>IRJ1_FR!U118</f>
        <v>76.400000000000006</v>
      </c>
      <c r="V121" s="117">
        <f>IRJ1_FR!V118</f>
        <v>74.5</v>
      </c>
      <c r="W121" s="119">
        <f>IRJ1_FR!W118</f>
        <v>77.5</v>
      </c>
      <c r="X121" s="117">
        <f>IRJ1_FR!X118</f>
        <v>65.8</v>
      </c>
      <c r="Y121" s="119">
        <f>IRJ1_FR!Y118</f>
        <v>67.900000000000006</v>
      </c>
      <c r="Z121" s="117">
        <f>IRJ1_FR!Z118</f>
        <v>78.600000000000009</v>
      </c>
      <c r="AA121" s="119">
        <f>IRJ1_FR!AA118</f>
        <v>75.400000000000006</v>
      </c>
    </row>
    <row r="122" spans="1:27" s="104" customFormat="1" ht="11.45" customHeight="1">
      <c r="A122" s="134"/>
      <c r="B122" s="117"/>
      <c r="C122" s="150"/>
      <c r="D122" s="150"/>
      <c r="E122" s="150"/>
      <c r="F122" s="150"/>
      <c r="G122" s="150"/>
      <c r="H122" s="150"/>
      <c r="I122" s="150"/>
      <c r="J122" s="150"/>
      <c r="K122" s="150"/>
      <c r="L122" s="150"/>
      <c r="M122" s="150"/>
      <c r="N122" s="150"/>
      <c r="O122" s="150"/>
      <c r="P122" s="150"/>
      <c r="Q122" s="150"/>
      <c r="R122" s="150"/>
      <c r="S122" s="150"/>
      <c r="T122" s="150"/>
      <c r="U122" s="150"/>
      <c r="V122" s="150"/>
      <c r="W122" s="150"/>
      <c r="X122" s="150"/>
      <c r="Y122" s="150"/>
      <c r="Z122" s="150"/>
      <c r="AA122" s="151"/>
    </row>
    <row r="123" spans="1:27" s="104" customFormat="1" ht="15.75">
      <c r="A123" s="146" t="s">
        <v>127</v>
      </c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  <c r="R123" s="129"/>
      <c r="S123" s="129"/>
      <c r="T123" s="129"/>
      <c r="U123" s="129"/>
      <c r="V123" s="129"/>
      <c r="W123" s="129"/>
      <c r="X123" s="129"/>
      <c r="Y123" s="129"/>
      <c r="Z123" s="129"/>
      <c r="AA123" s="152"/>
    </row>
    <row r="124" spans="1:27" s="104" customFormat="1" ht="9" customHeight="1">
      <c r="A124" s="134"/>
      <c r="B124" s="117"/>
      <c r="C124" s="150"/>
      <c r="D124" s="150"/>
      <c r="E124" s="150"/>
      <c r="F124" s="150"/>
      <c r="G124" s="150"/>
      <c r="H124" s="150"/>
      <c r="I124" s="150"/>
      <c r="J124" s="150"/>
      <c r="K124" s="150"/>
      <c r="L124" s="150"/>
      <c r="M124" s="150"/>
      <c r="N124" s="150"/>
      <c r="O124" s="150"/>
      <c r="P124" s="150"/>
      <c r="Q124" s="150"/>
      <c r="R124" s="150"/>
      <c r="S124" s="150"/>
      <c r="T124" s="150"/>
      <c r="U124" s="150"/>
      <c r="V124" s="150"/>
      <c r="W124" s="150"/>
      <c r="X124" s="150"/>
      <c r="Y124" s="150"/>
      <c r="Z124" s="150"/>
      <c r="AA124" s="151"/>
    </row>
    <row r="125" spans="1:27" s="104" customFormat="1" ht="12.75" customHeight="1">
      <c r="A125" s="116" t="s">
        <v>140</v>
      </c>
      <c r="B125" s="117">
        <f>IRJ1_FR!B122</f>
        <v>1.2666666507720947</v>
      </c>
      <c r="C125" s="119">
        <f>IRJ1_FR!C122</f>
        <v>0.30000001192092896</v>
      </c>
      <c r="D125" s="117">
        <f>IRJ1_FR!D122</f>
        <v>1.1666666269302368</v>
      </c>
      <c r="E125" s="119">
        <f>IRJ1_FR!E122</f>
        <v>2.5999999046325684</v>
      </c>
      <c r="F125" s="117">
        <f>IRJ1_FR!F122</f>
        <v>0</v>
      </c>
      <c r="G125" s="119">
        <f>IRJ1_FR!G122</f>
        <v>0</v>
      </c>
      <c r="H125" s="117">
        <f>IRJ1_FR!H122</f>
        <v>0</v>
      </c>
      <c r="I125" s="119">
        <f>IRJ1_FR!I122</f>
        <v>0</v>
      </c>
      <c r="J125" s="117">
        <f>IRJ1_FR!J122</f>
        <v>0</v>
      </c>
      <c r="K125" s="119">
        <f>IRJ1_FR!K122</f>
        <v>3.9333333969116211</v>
      </c>
      <c r="L125" s="117">
        <f>IRJ1_FR!L122</f>
        <v>0</v>
      </c>
      <c r="M125" s="119">
        <f>IRJ1_FR!M122</f>
        <v>0</v>
      </c>
      <c r="N125" s="117">
        <f>IRJ1_FR!N122</f>
        <v>4.0999999046325684</v>
      </c>
      <c r="O125" s="119">
        <f>IRJ1_FR!O122</f>
        <v>0</v>
      </c>
      <c r="P125" s="117">
        <f>IRJ1_FR!P122</f>
        <v>0</v>
      </c>
      <c r="Q125" s="119">
        <f>IRJ1_FR!Q122</f>
        <v>0</v>
      </c>
      <c r="R125" s="117">
        <f>IRJ1_FR!R122</f>
        <v>0</v>
      </c>
      <c r="S125" s="119">
        <f>IRJ1_FR!S122</f>
        <v>0</v>
      </c>
      <c r="T125" s="117">
        <f>IRJ1_FR!T122</f>
        <v>0</v>
      </c>
      <c r="U125" s="119">
        <f>IRJ1_FR!U122</f>
        <v>0</v>
      </c>
      <c r="V125" s="117">
        <f>IRJ1_FR!V122</f>
        <v>0</v>
      </c>
      <c r="W125" s="119">
        <f>IRJ1_FR!W122</f>
        <v>0</v>
      </c>
      <c r="X125" s="117">
        <f>IRJ1_FR!X122</f>
        <v>4.4000000953674316</v>
      </c>
      <c r="Y125" s="119">
        <f>IRJ1_FR!Y122</f>
        <v>0</v>
      </c>
      <c r="Z125" s="117">
        <f>IRJ1_FR!Z122</f>
        <v>0</v>
      </c>
      <c r="AA125" s="119">
        <f>IRJ1_FR!AA122</f>
        <v>0</v>
      </c>
    </row>
    <row r="126" spans="1:27" s="104" customFormat="1" ht="12.75" customHeight="1">
      <c r="A126" s="116" t="s">
        <v>141</v>
      </c>
      <c r="B126" s="117">
        <f>IRJ1_FR!B123</f>
        <v>90.433334350585938</v>
      </c>
      <c r="C126" s="119">
        <f>IRJ1_FR!C123</f>
        <v>91.5</v>
      </c>
      <c r="D126" s="117">
        <f>IRJ1_FR!D123</f>
        <v>90.833335876464844</v>
      </c>
      <c r="E126" s="119">
        <f>IRJ1_FR!E123</f>
        <v>82.466667175292969</v>
      </c>
      <c r="F126" s="117">
        <f>IRJ1_FR!F123</f>
        <v>100</v>
      </c>
      <c r="G126" s="119">
        <f>IRJ1_FR!G123</f>
        <v>100</v>
      </c>
      <c r="H126" s="117">
        <f>IRJ1_FR!H123</f>
        <v>97.133331298828125</v>
      </c>
      <c r="I126" s="119">
        <f>IRJ1_FR!I123</f>
        <v>97.133331298828125</v>
      </c>
      <c r="J126" s="117">
        <f>IRJ1_FR!J123</f>
        <v>100</v>
      </c>
      <c r="K126" s="119">
        <f>IRJ1_FR!K123</f>
        <v>59.400001525878906</v>
      </c>
      <c r="L126" s="117">
        <f>IRJ1_FR!L123</f>
        <v>93.266670227050781</v>
      </c>
      <c r="M126" s="119">
        <f>IRJ1_FR!M123</f>
        <v>90.099998474121094</v>
      </c>
      <c r="N126" s="117">
        <f>IRJ1_FR!N123</f>
        <v>89.5</v>
      </c>
      <c r="O126" s="119">
        <f>IRJ1_FR!O123</f>
        <v>93.633331298828125</v>
      </c>
      <c r="P126" s="117">
        <f>IRJ1_FR!P123</f>
        <v>100</v>
      </c>
      <c r="Q126" s="119">
        <f>IRJ1_FR!Q123</f>
        <v>97</v>
      </c>
      <c r="R126" s="117">
        <f>IRJ1_FR!R123</f>
        <v>96.900001525878906</v>
      </c>
      <c r="S126" s="119">
        <f>IRJ1_FR!S123</f>
        <v>95.233329772949219</v>
      </c>
      <c r="T126" s="117">
        <f>IRJ1_FR!T123</f>
        <v>78.300003051757813</v>
      </c>
      <c r="U126" s="119">
        <f>IRJ1_FR!U123</f>
        <v>81.400001525878906</v>
      </c>
      <c r="V126" s="117">
        <f>IRJ1_FR!V123</f>
        <v>100</v>
      </c>
      <c r="W126" s="119">
        <f>IRJ1_FR!W123</f>
        <v>94.199996948242188</v>
      </c>
      <c r="X126" s="117">
        <f>IRJ1_FR!X123</f>
        <v>72.5</v>
      </c>
      <c r="Y126" s="119">
        <f>IRJ1_FR!Y123</f>
        <v>90.400001525878906</v>
      </c>
      <c r="Z126" s="117">
        <f>IRJ1_FR!Z123</f>
        <v>89.933334350585938</v>
      </c>
      <c r="AA126" s="119">
        <f>IRJ1_FR!AA123</f>
        <v>89.933334350585938</v>
      </c>
    </row>
    <row r="127" spans="1:27" s="104" customFormat="1" ht="12.75" customHeight="1">
      <c r="A127" s="116" t="s">
        <v>142</v>
      </c>
      <c r="B127" s="117">
        <f>IRJ1_FR!B124</f>
        <v>8.3333330154418945</v>
      </c>
      <c r="C127" s="119">
        <f>IRJ1_FR!C124</f>
        <v>8.1999998092651367</v>
      </c>
      <c r="D127" s="117">
        <f>IRJ1_FR!D124</f>
        <v>8</v>
      </c>
      <c r="E127" s="119">
        <f>IRJ1_FR!E124</f>
        <v>14.933333396911621</v>
      </c>
      <c r="F127" s="117">
        <f>IRJ1_FR!F124</f>
        <v>0</v>
      </c>
      <c r="G127" s="119">
        <f>IRJ1_FR!G124</f>
        <v>0</v>
      </c>
      <c r="H127" s="117">
        <f>IRJ1_FR!H124</f>
        <v>2.8666665554046631</v>
      </c>
      <c r="I127" s="119">
        <f>IRJ1_FR!I124</f>
        <v>2.8666665554046631</v>
      </c>
      <c r="J127" s="117">
        <f>IRJ1_FR!J124</f>
        <v>0</v>
      </c>
      <c r="K127" s="119">
        <f>IRJ1_FR!K124</f>
        <v>36.666667938232422</v>
      </c>
      <c r="L127" s="117">
        <f>IRJ1_FR!L124</f>
        <v>6.7333331108093262</v>
      </c>
      <c r="M127" s="119">
        <f>IRJ1_FR!M124</f>
        <v>9.8999996185302734</v>
      </c>
      <c r="N127" s="117">
        <f>IRJ1_FR!N124</f>
        <v>6.4000000953674316</v>
      </c>
      <c r="O127" s="119">
        <f>IRJ1_FR!O124</f>
        <v>6.3666667938232422</v>
      </c>
      <c r="P127" s="117">
        <f>IRJ1_FR!P124</f>
        <v>0</v>
      </c>
      <c r="Q127" s="119">
        <f>IRJ1_FR!Q124</f>
        <v>3</v>
      </c>
      <c r="R127" s="117">
        <f>IRJ1_FR!R124</f>
        <v>3.0999999046325684</v>
      </c>
      <c r="S127" s="119">
        <f>IRJ1_FR!S124</f>
        <v>4.7666668891906738</v>
      </c>
      <c r="T127" s="117">
        <f>IRJ1_FR!T124</f>
        <v>21.700000762939453</v>
      </c>
      <c r="U127" s="119">
        <f>IRJ1_FR!U124</f>
        <v>18.600000381469727</v>
      </c>
      <c r="V127" s="117">
        <f>IRJ1_FR!V124</f>
        <v>0</v>
      </c>
      <c r="W127" s="119">
        <f>IRJ1_FR!W124</f>
        <v>5.8000001907348633</v>
      </c>
      <c r="X127" s="117">
        <f>IRJ1_FR!X124</f>
        <v>23.100000381469727</v>
      </c>
      <c r="Y127" s="119">
        <f>IRJ1_FR!Y124</f>
        <v>9.6000003814697266</v>
      </c>
      <c r="Z127" s="117">
        <f>IRJ1_FR!Z124</f>
        <v>10.066666603088379</v>
      </c>
      <c r="AA127" s="119">
        <f>IRJ1_FR!AA124</f>
        <v>10.066666603088379</v>
      </c>
    </row>
    <row r="128" spans="1:27" ht="4.5" customHeight="1">
      <c r="A128" s="156"/>
      <c r="B128" s="157"/>
      <c r="C128" s="157"/>
      <c r="D128" s="158"/>
      <c r="E128" s="158"/>
      <c r="F128" s="158"/>
      <c r="G128" s="158"/>
      <c r="H128" s="158"/>
      <c r="I128" s="158"/>
      <c r="J128" s="158"/>
      <c r="K128" s="158"/>
      <c r="L128" s="158"/>
      <c r="M128" s="158"/>
      <c r="N128" s="158"/>
      <c r="O128" s="158"/>
      <c r="P128" s="158"/>
      <c r="Q128" s="158"/>
      <c r="R128" s="158"/>
      <c r="S128" s="158"/>
      <c r="T128" s="158"/>
      <c r="U128" s="158"/>
      <c r="V128" s="158"/>
      <c r="W128" s="158"/>
      <c r="X128" s="158"/>
      <c r="Y128" s="158"/>
      <c r="Z128" s="159"/>
      <c r="AA128" s="160"/>
    </row>
    <row r="130" spans="1:27" ht="20.100000000000001" customHeight="1">
      <c r="A130" s="161" t="s">
        <v>165</v>
      </c>
      <c r="B130" s="162"/>
      <c r="C130" s="162"/>
      <c r="D130" s="163"/>
      <c r="E130" s="163"/>
      <c r="F130" s="163"/>
      <c r="G130" s="163"/>
      <c r="H130" s="163"/>
      <c r="I130" s="163"/>
      <c r="J130" s="163"/>
      <c r="K130" s="163"/>
      <c r="L130" s="163"/>
      <c r="M130" s="163"/>
      <c r="N130" s="163"/>
      <c r="O130" s="163"/>
      <c r="P130" s="163"/>
      <c r="Q130" s="163"/>
      <c r="R130" s="163"/>
      <c r="S130" s="163"/>
      <c r="T130" s="163"/>
      <c r="U130" s="163"/>
      <c r="V130" s="163"/>
      <c r="W130" s="163"/>
      <c r="X130" s="163"/>
      <c r="Y130" s="163"/>
      <c r="Z130" s="164"/>
      <c r="AA130" s="164"/>
    </row>
    <row r="132" spans="1:27">
      <c r="B132" s="165"/>
      <c r="C132" s="165"/>
      <c r="D132" s="165"/>
      <c r="E132" s="165"/>
      <c r="F132" s="165"/>
      <c r="G132" s="165"/>
      <c r="H132" s="165"/>
      <c r="I132" s="165"/>
      <c r="J132" s="165"/>
      <c r="K132" s="165"/>
      <c r="L132" s="165"/>
      <c r="M132" s="165"/>
      <c r="N132" s="165"/>
      <c r="O132" s="165"/>
      <c r="P132" s="165"/>
      <c r="Q132" s="165"/>
      <c r="R132" s="165"/>
      <c r="S132" s="165"/>
      <c r="T132" s="165"/>
      <c r="U132" s="165"/>
      <c r="V132" s="165"/>
      <c r="W132" s="165"/>
      <c r="X132" s="165"/>
      <c r="Y132" s="165"/>
      <c r="Z132" s="165"/>
      <c r="AA132" s="165"/>
    </row>
    <row r="133" spans="1:27">
      <c r="B133" s="166"/>
      <c r="C133" s="166"/>
      <c r="D133" s="166"/>
      <c r="E133" s="166"/>
      <c r="F133" s="166"/>
      <c r="G133" s="166"/>
      <c r="H133" s="166"/>
      <c r="I133" s="166"/>
      <c r="J133" s="166"/>
      <c r="K133" s="166"/>
      <c r="L133" s="166"/>
      <c r="M133" s="166"/>
      <c r="N133" s="166"/>
      <c r="O133" s="166"/>
      <c r="P133" s="166"/>
      <c r="Q133" s="166"/>
      <c r="R133" s="166"/>
      <c r="S133" s="166"/>
      <c r="T133" s="166"/>
      <c r="U133" s="166"/>
      <c r="V133" s="166"/>
      <c r="W133" s="166"/>
      <c r="X133" s="166"/>
      <c r="Y133" s="166"/>
      <c r="Z133" s="167"/>
      <c r="AA133" s="167"/>
    </row>
    <row r="134" spans="1:27">
      <c r="B134" s="141"/>
      <c r="C134" s="141"/>
      <c r="D134" s="141"/>
      <c r="E134" s="141"/>
      <c r="F134" s="141"/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  <c r="R134" s="141"/>
      <c r="S134" s="141"/>
      <c r="T134" s="141"/>
      <c r="U134" s="141"/>
      <c r="V134" s="141"/>
      <c r="W134" s="141"/>
      <c r="X134" s="141"/>
      <c r="Y134" s="141"/>
      <c r="Z134" s="141"/>
      <c r="AA134" s="141"/>
    </row>
    <row r="135" spans="1:27" ht="15.75">
      <c r="A135" s="143"/>
      <c r="Y135" s="142"/>
      <c r="AA135" s="97"/>
    </row>
  </sheetData>
  <mergeCells count="62">
    <mergeCell ref="V77:W77"/>
    <mergeCell ref="X78:Y78"/>
    <mergeCell ref="Z78:AA78"/>
    <mergeCell ref="X77:Y77"/>
    <mergeCell ref="Z77:AA77"/>
    <mergeCell ref="V78:W78"/>
    <mergeCell ref="P78:Q78"/>
    <mergeCell ref="R78:S78"/>
    <mergeCell ref="P77:Q77"/>
    <mergeCell ref="R77:S77"/>
    <mergeCell ref="T77:U77"/>
    <mergeCell ref="T78:U78"/>
    <mergeCell ref="H77:I77"/>
    <mergeCell ref="J77:K77"/>
    <mergeCell ref="L77:M77"/>
    <mergeCell ref="N77:O77"/>
    <mergeCell ref="A77:A79"/>
    <mergeCell ref="B77:C77"/>
    <mergeCell ref="D77:E77"/>
    <mergeCell ref="F77:G77"/>
    <mergeCell ref="D78:E78"/>
    <mergeCell ref="F78:G78"/>
    <mergeCell ref="H78:I78"/>
    <mergeCell ref="J78:K78"/>
    <mergeCell ref="L78:M78"/>
    <mergeCell ref="N78:O78"/>
    <mergeCell ref="A70:AA70"/>
    <mergeCell ref="A71:AA71"/>
    <mergeCell ref="A73:AA73"/>
    <mergeCell ref="A75:AA75"/>
    <mergeCell ref="V14:W14"/>
    <mergeCell ref="X14:Y14"/>
    <mergeCell ref="Z14:AA14"/>
    <mergeCell ref="A68:AA68"/>
    <mergeCell ref="P14:Q14"/>
    <mergeCell ref="R14:S14"/>
    <mergeCell ref="T14:U14"/>
    <mergeCell ref="J13:K13"/>
    <mergeCell ref="L13:M13"/>
    <mergeCell ref="N13:O13"/>
    <mergeCell ref="P13:Q13"/>
    <mergeCell ref="F14:G14"/>
    <mergeCell ref="H14:I14"/>
    <mergeCell ref="J14:K14"/>
    <mergeCell ref="L14:M14"/>
    <mergeCell ref="N14:O14"/>
    <mergeCell ref="A4:AA4"/>
    <mergeCell ref="A6:AA6"/>
    <mergeCell ref="A7:AA7"/>
    <mergeCell ref="A9:AA9"/>
    <mergeCell ref="R13:S13"/>
    <mergeCell ref="T13:U13"/>
    <mergeCell ref="V13:W13"/>
    <mergeCell ref="X13:Y13"/>
    <mergeCell ref="A11:AA11"/>
    <mergeCell ref="A13:A16"/>
    <mergeCell ref="B13:C13"/>
    <mergeCell ref="D13:E13"/>
    <mergeCell ref="F13:G13"/>
    <mergeCell ref="H13:I13"/>
    <mergeCell ref="Z13:AA13"/>
    <mergeCell ref="D14:E14"/>
  </mergeCells>
  <phoneticPr fontId="2" type="noConversion"/>
  <pageMargins left="0.74803149606299213" right="0.74803149606299213" top="0.19685039370078741" bottom="0.19685039370078741" header="0.51181102362204722" footer="0.27"/>
  <pageSetup paperSize="9" scale="55" fitToHeight="0" orientation="landscape" r:id="rId1"/>
  <headerFooter alignWithMargins="0"/>
  <rowBreaks count="1" manualBreakCount="1">
    <brk id="64" max="16383" man="1"/>
  </rowBreaks>
  <ignoredErrors>
    <ignoredError sqref="D21:AA22 D27:AA28 D32:AA34 D38:AA40 D45:AA46 D53:AA53 D58:AA59 B83:AA127 D20:AA20 D26:AA26 D44:AA44 D50:AA52 D57:AA57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61"/>
  <sheetViews>
    <sheetView showGridLines="0" topLeftCell="A37" workbookViewId="0">
      <selection activeCell="P44" sqref="P44"/>
    </sheetView>
  </sheetViews>
  <sheetFormatPr defaultColWidth="9.140625" defaultRowHeight="12.75"/>
  <cols>
    <col min="1" max="16384" width="9.140625" style="5"/>
  </cols>
  <sheetData>
    <row r="1" spans="1:15">
      <c r="J1" s="93"/>
      <c r="K1" s="94" t="str">
        <f>IRJ1_EN!AA1</f>
        <v>Edition of July 22nd, 2025 N°7/2025</v>
      </c>
    </row>
    <row r="2" spans="1:15" ht="21">
      <c r="A2" s="217" t="s">
        <v>84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182"/>
      <c r="M2" s="182"/>
      <c r="N2" s="182"/>
      <c r="O2" s="182"/>
    </row>
    <row r="61" spans="1:10" ht="15" customHeight="1">
      <c r="A61" s="235" t="s">
        <v>143</v>
      </c>
      <c r="B61" s="235"/>
      <c r="C61" s="235"/>
      <c r="D61" s="235"/>
      <c r="E61" s="235"/>
      <c r="F61" s="235"/>
      <c r="G61" s="235"/>
      <c r="H61" s="235"/>
      <c r="I61" s="235"/>
      <c r="J61" s="235"/>
    </row>
  </sheetData>
  <mergeCells count="2">
    <mergeCell ref="A61:J61"/>
    <mergeCell ref="A2:K2"/>
  </mergeCells>
  <phoneticPr fontId="2" type="noConversion"/>
  <pageMargins left="0.23622047244094491" right="0.23622047244094491" top="0.31496062992125984" bottom="0.23622047244094491" header="0.19685039370078741" footer="0.1574803149606299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Menu</vt:lpstr>
      <vt:lpstr>IRJ1_FR</vt:lpstr>
      <vt:lpstr>graphique J1_FR</vt:lpstr>
      <vt:lpstr>données J1</vt:lpstr>
      <vt:lpstr>IRJ1_EN</vt:lpstr>
      <vt:lpstr>graphique J1_EN</vt:lpstr>
      <vt:lpstr>IRJ1_FR!Print_Area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D3012 Enquête mensuelle de conjoncture dans l'industrie</dc:title>
  <dc:subject>D3012 Monthly business survey - industry</dc:subject>
  <dc:creator>STATEC</dc:creator>
  <cp:keywords>IR, Industrie</cp:keywords>
  <cp:lastModifiedBy>Carole Mathieu</cp:lastModifiedBy>
  <cp:lastPrinted>2020-10-23T09:22:02Z</cp:lastPrinted>
  <dcterms:created xsi:type="dcterms:W3CDTF">2001-01-04T11:17:29Z</dcterms:created>
  <dcterms:modified xsi:type="dcterms:W3CDTF">2025-07-22T07:03:29Z</dcterms:modified>
  <cp:category>Entreprises - Industrie</cp:category>
</cp:coreProperties>
</file>